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richmondvt-my.sharepoint.com/personal/jarneson_richmondvt_gov/Documents/Documents/Water Resources/annual meetings/2024/For Meeting Packet/"/>
    </mc:Choice>
  </mc:AlternateContent>
  <xr:revisionPtr revIDLastSave="18" documentId="8_{FA79FAAF-B743-4294-B13A-6FC973C3CD8D}" xr6:coauthVersionLast="47" xr6:coauthVersionMax="47" xr10:uidLastSave="{28445BF6-6F76-469D-8916-E12585B76901}"/>
  <bookViews>
    <workbookView xWindow="-120" yWindow="-120" windowWidth="24240" windowHeight="13140" xr2:uid="{00000000-000D-0000-FFFF-FFFF00000000}"/>
  </bookViews>
  <sheets>
    <sheet name="FY25 DRAFT" sheetId="15" r:id="rId1"/>
    <sheet name="FY24 Final" sheetId="14" r:id="rId2"/>
    <sheet name="FY23 Final" sheetId="13" r:id="rId3"/>
    <sheet name="FY22 Final" sheetId="12" r:id="rId4"/>
    <sheet name="FY21 Final" sheetId="9" r:id="rId5"/>
    <sheet name="FY20 Final" sheetId="8" r:id="rId6"/>
    <sheet name="FY19 Final" sheetId="7"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5" l="1"/>
  <c r="K47" i="15"/>
  <c r="E56" i="15"/>
  <c r="E67" i="15"/>
  <c r="D67" i="15"/>
  <c r="K69" i="15"/>
  <c r="J68" i="15"/>
  <c r="D87" i="14" l="1"/>
  <c r="J87" i="9"/>
  <c r="D15" i="7"/>
  <c r="D12" i="7"/>
  <c r="C13" i="7"/>
  <c r="K45" i="15"/>
  <c r="G133" i="15" l="1"/>
  <c r="G132" i="15"/>
  <c r="G131" i="15"/>
  <c r="F134" i="15"/>
  <c r="F133" i="15"/>
  <c r="F132" i="15"/>
  <c r="F131" i="15"/>
  <c r="G125" i="15"/>
  <c r="G124" i="15"/>
  <c r="G123" i="15"/>
  <c r="F126" i="15"/>
  <c r="F125" i="15"/>
  <c r="F124" i="15"/>
  <c r="F123" i="15"/>
  <c r="G117" i="15"/>
  <c r="G116" i="15"/>
  <c r="G115" i="15"/>
  <c r="F115" i="15"/>
  <c r="J69" i="15"/>
  <c r="G61" i="15"/>
  <c r="C61" i="15"/>
  <c r="M45" i="15"/>
  <c r="G45" i="15"/>
  <c r="E45" i="15"/>
  <c r="L31" i="15"/>
  <c r="F31" i="15"/>
  <c r="L27" i="15"/>
  <c r="E11" i="15"/>
  <c r="D11" i="15"/>
  <c r="J70" i="15" l="1"/>
  <c r="H105" i="15" l="1"/>
  <c r="G105" i="15"/>
  <c r="I61" i="15"/>
  <c r="E61" i="15"/>
  <c r="I58" i="15"/>
  <c r="H58" i="15"/>
  <c r="E58" i="15"/>
  <c r="I57" i="15"/>
  <c r="E57" i="15"/>
  <c r="I56" i="15"/>
  <c r="H56" i="15"/>
  <c r="N31" i="15"/>
  <c r="O31" i="15" s="1"/>
  <c r="K31" i="15"/>
  <c r="K32" i="15" s="1"/>
  <c r="H31" i="15"/>
  <c r="I31" i="15" s="1"/>
  <c r="E31" i="15"/>
  <c r="E32" i="15" s="1"/>
  <c r="N27" i="15"/>
  <c r="O27" i="15" s="1"/>
  <c r="K27" i="15"/>
  <c r="K28" i="15" s="1"/>
  <c r="D12" i="15"/>
  <c r="F10" i="15"/>
  <c r="F9" i="15"/>
  <c r="K45" i="14"/>
  <c r="E45" i="14"/>
  <c r="I56" i="14"/>
  <c r="G61" i="14"/>
  <c r="H56" i="14" s="1"/>
  <c r="I61" i="14"/>
  <c r="I58" i="14"/>
  <c r="I57" i="14"/>
  <c r="F19" i="13"/>
  <c r="F20" i="13"/>
  <c r="F21" i="13"/>
  <c r="K27" i="13"/>
  <c r="K28" i="13" s="1"/>
  <c r="M29" i="13"/>
  <c r="J68" i="14"/>
  <c r="E56" i="14"/>
  <c r="C61" i="14"/>
  <c r="E61" i="14" s="1"/>
  <c r="M45" i="14"/>
  <c r="G45" i="14"/>
  <c r="G45" i="13"/>
  <c r="L31" i="14"/>
  <c r="L27" i="14"/>
  <c r="F31" i="14"/>
  <c r="E31" i="14"/>
  <c r="G31" i="15" s="1"/>
  <c r="G32" i="15" s="1"/>
  <c r="E48" i="15" l="1"/>
  <c r="C75" i="15" s="1"/>
  <c r="E47" i="15"/>
  <c r="D56" i="14"/>
  <c r="D75" i="15"/>
  <c r="D77" i="15" s="1"/>
  <c r="G47" i="15"/>
  <c r="D57" i="15"/>
  <c r="F11" i="15"/>
  <c r="F12" i="15" s="1"/>
  <c r="H57" i="15"/>
  <c r="D56" i="15"/>
  <c r="D58" i="15"/>
  <c r="E69" i="15" s="1"/>
  <c r="D68" i="15"/>
  <c r="E12" i="15"/>
  <c r="F9" i="14"/>
  <c r="H105" i="14"/>
  <c r="G105" i="14"/>
  <c r="J69" i="14"/>
  <c r="D58" i="14"/>
  <c r="E69" i="14" s="1"/>
  <c r="F69" i="15" s="1"/>
  <c r="E58" i="14"/>
  <c r="E57" i="14"/>
  <c r="N31" i="14"/>
  <c r="O31" i="14" s="1"/>
  <c r="K31" i="14"/>
  <c r="H31" i="14"/>
  <c r="I31" i="14" s="1"/>
  <c r="E32" i="14"/>
  <c r="E47" i="14" s="1"/>
  <c r="N27" i="14"/>
  <c r="O27" i="14" s="1"/>
  <c r="K27" i="14"/>
  <c r="E11" i="14"/>
  <c r="E12" i="14" s="1"/>
  <c r="D11" i="14"/>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K32" i="14" l="1"/>
  <c r="M31" i="15"/>
  <c r="M32" i="15" s="1"/>
  <c r="K28" i="14"/>
  <c r="M28" i="15" s="1"/>
  <c r="M27" i="15"/>
  <c r="M29" i="15" s="1"/>
  <c r="M47" i="15" s="1"/>
  <c r="M48" i="15" s="1"/>
  <c r="F75" i="15" s="1"/>
  <c r="E68" i="15"/>
  <c r="C78" i="15" s="1"/>
  <c r="D92" i="15" s="1"/>
  <c r="G48" i="15"/>
  <c r="E75" i="15" s="1"/>
  <c r="D78" i="15"/>
  <c r="J91" i="15" s="1"/>
  <c r="F19" i="15" s="1"/>
  <c r="D79" i="15"/>
  <c r="C79" i="15"/>
  <c r="D96" i="15" s="1"/>
  <c r="H61" i="15"/>
  <c r="D61" i="15"/>
  <c r="K68" i="15"/>
  <c r="C77" i="15" s="1"/>
  <c r="J87" i="15"/>
  <c r="J88" i="15"/>
  <c r="K47" i="14"/>
  <c r="K48" i="14" s="1"/>
  <c r="D75" i="14" s="1"/>
  <c r="D12" i="14"/>
  <c r="F11" i="14"/>
  <c r="F12" i="14" s="1"/>
  <c r="E48" i="14"/>
  <c r="J70" i="14"/>
  <c r="K68" i="14" s="1"/>
  <c r="D67" i="14" s="1"/>
  <c r="D57" i="14"/>
  <c r="D61" i="14" s="1"/>
  <c r="H58" i="14"/>
  <c r="H57" i="14"/>
  <c r="E31" i="13"/>
  <c r="G31" i="14" s="1"/>
  <c r="G32" i="14" s="1"/>
  <c r="G47" i="14" s="1"/>
  <c r="G48" i="14" s="1"/>
  <c r="E75" i="14" s="1"/>
  <c r="M31" i="13"/>
  <c r="M32" i="13" s="1"/>
  <c r="L31" i="13"/>
  <c r="M28" i="13"/>
  <c r="M27" i="13"/>
  <c r="L27" i="13"/>
  <c r="G31" i="13"/>
  <c r="F31" i="13"/>
  <c r="F9" i="13"/>
  <c r="D87" i="15" l="1"/>
  <c r="D88" i="15"/>
  <c r="H61" i="14"/>
  <c r="J92" i="15"/>
  <c r="E123" i="15" s="1"/>
  <c r="D91" i="15"/>
  <c r="F20" i="15" s="1"/>
  <c r="E124" i="15"/>
  <c r="J95" i="15"/>
  <c r="K95" i="15" s="1"/>
  <c r="J96" i="15"/>
  <c r="K91" i="15"/>
  <c r="F21" i="15"/>
  <c r="D95" i="15"/>
  <c r="E95" i="15" s="1"/>
  <c r="E70" i="15"/>
  <c r="E92" i="15"/>
  <c r="D123" i="15"/>
  <c r="E115" i="15"/>
  <c r="K88" i="15"/>
  <c r="E116" i="15"/>
  <c r="K87" i="15"/>
  <c r="E96" i="15"/>
  <c r="D131" i="15"/>
  <c r="C75" i="14"/>
  <c r="K69" i="14"/>
  <c r="D68" i="14" s="1"/>
  <c r="E68" i="14" s="1"/>
  <c r="F68" i="15" s="1"/>
  <c r="D78" i="14"/>
  <c r="D79" i="14"/>
  <c r="D77" i="14"/>
  <c r="E67"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K92" i="15" l="1"/>
  <c r="K93" i="15" s="1"/>
  <c r="E125" i="15"/>
  <c r="F67" i="15"/>
  <c r="F70" i="15" s="1"/>
  <c r="C77" i="14"/>
  <c r="J87" i="14"/>
  <c r="L87" i="15" s="1"/>
  <c r="N87" i="15" s="1"/>
  <c r="O87" i="15" s="1"/>
  <c r="F77" i="15"/>
  <c r="J95" i="14"/>
  <c r="L95" i="15" s="1"/>
  <c r="N95" i="15" s="1"/>
  <c r="O95" i="15" s="1"/>
  <c r="F79" i="15"/>
  <c r="J91" i="14"/>
  <c r="L91" i="15" s="1"/>
  <c r="N91" i="15" s="1"/>
  <c r="O91" i="15" s="1"/>
  <c r="F78" i="15"/>
  <c r="D124" i="15"/>
  <c r="D125" i="15" s="1"/>
  <c r="E91" i="15"/>
  <c r="E93" i="15" s="1"/>
  <c r="D132" i="15"/>
  <c r="D133" i="15" s="1"/>
  <c r="E131" i="15"/>
  <c r="K96" i="15"/>
  <c r="E132" i="15"/>
  <c r="E97" i="15"/>
  <c r="E117" i="15"/>
  <c r="K89" i="15"/>
  <c r="C79" i="14"/>
  <c r="E79" i="15" s="1"/>
  <c r="C78" i="14"/>
  <c r="F21" i="14"/>
  <c r="J88" i="14"/>
  <c r="K32" i="13"/>
  <c r="K47" i="13" s="1"/>
  <c r="K48" i="13" s="1"/>
  <c r="M31" i="14"/>
  <c r="M32" i="14" s="1"/>
  <c r="M28" i="14"/>
  <c r="M27" i="14"/>
  <c r="J96" i="14"/>
  <c r="J92" i="14"/>
  <c r="L92" i="15" s="1"/>
  <c r="N92" i="15" s="1"/>
  <c r="O92" i="15" s="1"/>
  <c r="E70" i="14"/>
  <c r="K87" i="14"/>
  <c r="M87" i="15" s="1"/>
  <c r="E116" i="14"/>
  <c r="E124" i="14"/>
  <c r="K91" i="14"/>
  <c r="M91" i="15" s="1"/>
  <c r="F19" i="14"/>
  <c r="C75" i="13"/>
  <c r="D75" i="13"/>
  <c r="H56" i="13"/>
  <c r="H58" i="13"/>
  <c r="I61" i="13"/>
  <c r="D57" i="13"/>
  <c r="J70" i="13"/>
  <c r="K68" i="13" s="1"/>
  <c r="D67" i="13" s="1"/>
  <c r="M48" i="13"/>
  <c r="F75" i="13" s="1"/>
  <c r="F11" i="13"/>
  <c r="F12" i="13" s="1"/>
  <c r="D56" i="13"/>
  <c r="D58" i="13"/>
  <c r="E69" i="13" s="1"/>
  <c r="F69" i="14" s="1"/>
  <c r="H61" i="13"/>
  <c r="K45" i="12"/>
  <c r="D126" i="15" l="1"/>
  <c r="D127" i="15" s="1"/>
  <c r="D128" i="15" s="1"/>
  <c r="H104" i="15"/>
  <c r="E115" i="14"/>
  <c r="L88" i="15"/>
  <c r="N88" i="15" s="1"/>
  <c r="O88" i="15" s="1"/>
  <c r="D91" i="14"/>
  <c r="D124" i="14" s="1"/>
  <c r="E78" i="15"/>
  <c r="E77" i="15"/>
  <c r="E132" i="14"/>
  <c r="K95" i="14"/>
  <c r="M95" i="15" s="1"/>
  <c r="K96" i="14"/>
  <c r="M96" i="15" s="1"/>
  <c r="L96" i="15"/>
  <c r="N96" i="15" s="1"/>
  <c r="O96" i="15" s="1"/>
  <c r="K97" i="15"/>
  <c r="H103" i="15"/>
  <c r="E133" i="15"/>
  <c r="D134" i="15" s="1"/>
  <c r="D135" i="15" s="1"/>
  <c r="D136" i="15" s="1"/>
  <c r="D116" i="15"/>
  <c r="E87" i="15"/>
  <c r="G103" i="15" s="1"/>
  <c r="E88" i="15"/>
  <c r="G104" i="15" s="1"/>
  <c r="D115" i="15"/>
  <c r="D96" i="14"/>
  <c r="F96" i="15" s="1"/>
  <c r="H96" i="15" s="1"/>
  <c r="I96" i="15" s="1"/>
  <c r="D95" i="14"/>
  <c r="F95" i="15" s="1"/>
  <c r="H95" i="15" s="1"/>
  <c r="I95" i="15" s="1"/>
  <c r="D92" i="14"/>
  <c r="K88" i="14"/>
  <c r="M29" i="14"/>
  <c r="M47" i="14" s="1"/>
  <c r="M48" i="14" s="1"/>
  <c r="F75" i="14" s="1"/>
  <c r="E131" i="14"/>
  <c r="E133" i="14" s="1"/>
  <c r="E123" i="14"/>
  <c r="E125" i="14" s="1"/>
  <c r="K92" i="14"/>
  <c r="K97" i="14"/>
  <c r="H103" i="14"/>
  <c r="H109" i="14" s="1"/>
  <c r="D88" i="14"/>
  <c r="E117" i="14"/>
  <c r="D77" i="13"/>
  <c r="K69" i="13"/>
  <c r="D79" i="13"/>
  <c r="D78" i="13"/>
  <c r="D68" i="13"/>
  <c r="E68" i="13" s="1"/>
  <c r="C79" i="13"/>
  <c r="E67" i="13"/>
  <c r="D61" i="13"/>
  <c r="J68" i="12"/>
  <c r="H106" i="15" l="1"/>
  <c r="H107" i="15" s="1"/>
  <c r="K93" i="14"/>
  <c r="M92" i="15"/>
  <c r="M93" i="15" s="1"/>
  <c r="E91" i="14"/>
  <c r="G91" i="15" s="1"/>
  <c r="E87" i="14"/>
  <c r="G87" i="15" s="1"/>
  <c r="F87" i="15"/>
  <c r="H87" i="15" s="1"/>
  <c r="I87" i="15" s="1"/>
  <c r="F20" i="14"/>
  <c r="F91" i="15"/>
  <c r="H91" i="15" s="1"/>
  <c r="I91" i="15" s="1"/>
  <c r="K89" i="14"/>
  <c r="M88" i="15"/>
  <c r="M89" i="15" s="1"/>
  <c r="D123" i="14"/>
  <c r="D125" i="14" s="1"/>
  <c r="F92" i="15"/>
  <c r="H92" i="15" s="1"/>
  <c r="I92" i="15" s="1"/>
  <c r="E88" i="14"/>
  <c r="G88" i="15" s="1"/>
  <c r="F88" i="15"/>
  <c r="H88" i="15" s="1"/>
  <c r="I88" i="15" s="1"/>
  <c r="M97" i="15"/>
  <c r="H109" i="15"/>
  <c r="D117" i="15"/>
  <c r="D118" i="15" s="1"/>
  <c r="E89" i="15"/>
  <c r="E92" i="14"/>
  <c r="D132" i="14"/>
  <c r="E95" i="14"/>
  <c r="G95" i="15" s="1"/>
  <c r="D131" i="14"/>
  <c r="E96" i="14"/>
  <c r="G96" i="15" s="1"/>
  <c r="H104" i="14"/>
  <c r="H106" i="14" s="1"/>
  <c r="H107" i="14" s="1"/>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6" i="14"/>
  <c r="D115" i="14"/>
  <c r="D116" i="14"/>
  <c r="F116" i="15" s="1"/>
  <c r="E89" i="14"/>
  <c r="J88" i="13"/>
  <c r="D87" i="13"/>
  <c r="F87" i="14" s="1"/>
  <c r="H87" i="14" s="1"/>
  <c r="I87" i="14" s="1"/>
  <c r="J91" i="13"/>
  <c r="J95" i="13"/>
  <c r="D96" i="13"/>
  <c r="H95" i="13"/>
  <c r="I95" i="13" s="1"/>
  <c r="E95" i="13"/>
  <c r="G95" i="14" s="1"/>
  <c r="D132" i="13"/>
  <c r="F132" i="14" s="1"/>
  <c r="E116" i="13"/>
  <c r="G116" i="14" s="1"/>
  <c r="N92" i="13"/>
  <c r="O92" i="13" s="1"/>
  <c r="K92" i="13"/>
  <c r="M92" i="14" s="1"/>
  <c r="E123" i="13"/>
  <c r="G123" i="14" s="1"/>
  <c r="N96" i="13"/>
  <c r="O96" i="13" s="1"/>
  <c r="K96" i="13"/>
  <c r="M96" i="14" s="1"/>
  <c r="E131" i="13"/>
  <c r="G131"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G97" i="15" l="1"/>
  <c r="G89" i="15"/>
  <c r="E93" i="14"/>
  <c r="G92" i="15"/>
  <c r="G93" i="15" s="1"/>
  <c r="G109" i="15"/>
  <c r="G106" i="15"/>
  <c r="G107" i="15" s="1"/>
  <c r="G104" i="14"/>
  <c r="D133" i="14"/>
  <c r="D134" i="14" s="1"/>
  <c r="E97" i="14"/>
  <c r="D88" i="13"/>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D117" i="14"/>
  <c r="E115" i="13"/>
  <c r="K88" i="13"/>
  <c r="K95" i="13"/>
  <c r="N95" i="13"/>
  <c r="O95" i="13" s="1"/>
  <c r="E124" i="13"/>
  <c r="N91" i="13"/>
  <c r="O91" i="13" s="1"/>
  <c r="D131" i="13"/>
  <c r="H96" i="13"/>
  <c r="I96" i="13" s="1"/>
  <c r="E92" i="13"/>
  <c r="D123" i="13"/>
  <c r="F123" i="14" s="1"/>
  <c r="E97" i="13"/>
  <c r="E47" i="12"/>
  <c r="E48" i="12" s="1"/>
  <c r="C75" i="12" s="1"/>
  <c r="K48" i="12"/>
  <c r="D75" i="12" s="1"/>
  <c r="D79" i="12" s="1"/>
  <c r="J96" i="12" s="1"/>
  <c r="K68" i="12"/>
  <c r="D67" i="12" s="1"/>
  <c r="D58" i="12"/>
  <c r="E69" i="12" s="1"/>
  <c r="D57" i="12"/>
  <c r="E68" i="12" s="1"/>
  <c r="D56" i="12"/>
  <c r="F11" i="12"/>
  <c r="F12" i="12" s="1"/>
  <c r="H61" i="12"/>
  <c r="I61" i="12"/>
  <c r="H56" i="12"/>
  <c r="H57" i="12"/>
  <c r="D118" i="14" l="1"/>
  <c r="F118" i="15" s="1"/>
  <c r="D119" i="15" s="1"/>
  <c r="D120" i="15" s="1"/>
  <c r="F117" i="15"/>
  <c r="E133" i="13"/>
  <c r="G133" i="14" s="1"/>
  <c r="G132" i="14"/>
  <c r="E117" i="13"/>
  <c r="G117" i="14" s="1"/>
  <c r="G115" i="14"/>
  <c r="E125" i="13"/>
  <c r="G125" i="14" s="1"/>
  <c r="G124" i="14"/>
  <c r="D133" i="13"/>
  <c r="F133" i="14" s="1"/>
  <c r="F131" i="14"/>
  <c r="K89" i="13"/>
  <c r="M88" i="14"/>
  <c r="M89" i="14" s="1"/>
  <c r="F91" i="14"/>
  <c r="H91" i="14" s="1"/>
  <c r="I91" i="14" s="1"/>
  <c r="E91" i="13"/>
  <c r="G91" i="14" s="1"/>
  <c r="D124" i="13"/>
  <c r="H91" i="13"/>
  <c r="I91" i="13" s="1"/>
  <c r="G92" i="14"/>
  <c r="K93" i="13"/>
  <c r="H103" i="13"/>
  <c r="H109" i="13" s="1"/>
  <c r="M95" i="14"/>
  <c r="M97" i="14" s="1"/>
  <c r="D115" i="13"/>
  <c r="F115" i="14" s="1"/>
  <c r="F88" i="14"/>
  <c r="H88" i="14" s="1"/>
  <c r="I88" i="14" s="1"/>
  <c r="G109" i="14"/>
  <c r="G106" i="14"/>
  <c r="G107" i="14" s="1"/>
  <c r="H104" i="13"/>
  <c r="K97" i="13"/>
  <c r="D134" i="13"/>
  <c r="H88" i="13"/>
  <c r="I88" i="13" s="1"/>
  <c r="E88" i="13"/>
  <c r="H87" i="13"/>
  <c r="I87" i="13" s="1"/>
  <c r="D116" i="13"/>
  <c r="F116"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G93" i="14" l="1"/>
  <c r="D125" i="13"/>
  <c r="F124" i="14"/>
  <c r="D135" i="13"/>
  <c r="D136" i="13" s="1"/>
  <c r="F134" i="14"/>
  <c r="D135" i="14" s="1"/>
  <c r="D136" i="14" s="1"/>
  <c r="G104" i="13"/>
  <c r="G88" i="14"/>
  <c r="G103" i="13"/>
  <c r="G109" i="13" s="1"/>
  <c r="G87" i="14"/>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G89" i="14" l="1"/>
  <c r="D118" i="13"/>
  <c r="F118" i="14" s="1"/>
  <c r="D119" i="14" s="1"/>
  <c r="D120" i="14" s="1"/>
  <c r="F117" i="14"/>
  <c r="G106" i="13"/>
  <c r="D126" i="13"/>
  <c r="F125"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6" i="14"/>
  <c r="D127" i="14" s="1"/>
  <c r="D128"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F115" i="8"/>
  <c r="F87" i="8"/>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<sst xmlns="http://schemas.openxmlformats.org/spreadsheetml/2006/main" count="1304" uniqueCount="272">
  <si>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</si>
  <si>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</si>
  <si>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</si>
  <si>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</si>
  <si>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</si>
  <si>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</si>
  <si>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</si>
  <si>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</si>
  <si>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</si>
  <si>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</si>
  <si>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</si>
  <si>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</si>
  <si>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</si>
  <si>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</si>
  <si>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</si>
  <si>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</si>
  <si>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</si>
  <si>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</si>
  <si>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</si>
  <si>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</si>
  <si>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</si>
  <si>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</si>
  <si>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</si>
  <si>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</si>
  <si>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</si>
  <si>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</si>
  <si>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</si>
  <si>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</si>
  <si>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</si>
  <si>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</si>
  <si>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</si>
  <si>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</si>
  <si>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</si>
  <si>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</si>
  <si>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</si>
  <si>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</si>
  <si>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</si>
  <si>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</si>
  <si>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</si>
  <si>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</si>
  <si>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</si>
  <si>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</si>
  <si>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</si>
  <si>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</si>
  <si>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</si>
  <si>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</si>
  <si>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</si>
  <si>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</si>
  <si>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</si>
  <si>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</si>
  <si>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</si>
  <si>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</si>
  <si>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</si>
  <si>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</si>
  <si>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</si>
  <si>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</si>
  <si>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</si>
  <si>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</si>
  <si>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</si>
  <si>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</si>
  <si>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</si>
  <si>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</si>
  <si>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</si>
  <si>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</si>
  <si>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</si>
  <si>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</si>
  <si>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</si>
  <si>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</si>
  <si>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</si>
  <si>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</si>
  <si>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</si>
  <si>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</si>
  <si>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</si>
  <si>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</si>
  <si>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</si>
  <si>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</si>
  <si>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</si>
  <si>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</si>
  <si>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</si>
  <si>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</si>
  <si>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</si>
  <si>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</si>
  <si>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</si>
  <si>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</si>
  <si>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</si>
  <si>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</si>
  <si>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</si>
  <si>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</si>
  <si>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</si>
  <si>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</si>
  <si>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</si>
  <si>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</si>
  <si>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</si>
  <si>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</si>
  <si>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</si>
  <si>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</si>
  <si>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</si>
  <si>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</si>
  <si>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</si>
  <si>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</si>
  <si>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</si>
  <si>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</si>
  <si>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</si>
  <si>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</si>
  <si>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</si>
  <si>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</si>
  <si>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</si>
  <si>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</si>
  <si>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</si>
  <si>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</si>
  <si>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</si>
  <si>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</si>
  <si>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</si>
  <si>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</si>
  <si>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</si>
  <si>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</si>
  <si>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</si>
  <si>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</si>
  <si>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</si>
  <si>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</si>
  <si>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</si>
  <si>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</si>
  <si>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</si>
  <si>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</si>
  <si>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</si>
  <si>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</si>
  <si>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</si>
  <si>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</si>
  <si>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</si>
  <si>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</si>
  <si>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</si>
  <si>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</si>
  <si>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</si>
  <si>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</si>
  <si>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</si>
  <si>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</si>
  <si>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</si>
  <si>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</si>
  <si>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</si>
  <si>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</si>
  <si>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</si>
  <si>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</si>
  <si>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</si>
  <si>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</si>
  <si>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</si>
  <si>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</si>
  <si>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</si>
  <si>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</si>
  <si>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</si>
  <si>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</si>
  <si>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</si>
  <si>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</si>
  <si>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</si>
  <si>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</si>
  <si>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</si>
  <si>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</si>
  <si>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</si>
  <si>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</si>
  <si>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</si>
  <si>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</si>
  <si>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</si>
  <si>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</si>
  <si>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</si>
  <si>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</si>
  <si>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</si>
  <si>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</si>
  <si>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</si>
  <si>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</si>
  <si>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</si>
  <si>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</si>
  <si>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</si>
  <si>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</si>
  <si>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</si>
  <si>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</si>
  <si>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</si>
  <si>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</si>
  <si>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</si>
  <si>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</si>
  <si>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</si>
  <si>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</si>
  <si>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</si>
  <si>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</si>
  <si>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</si>
  <si>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</si>
  <si>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</si>
  <si>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</si>
  <si>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</si>
  <si>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</si>
  <si>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</si>
  <si>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</si>
  <si>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</si>
  <si>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</si>
  <si>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</si>
  <si>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</si>
  <si>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</si>
  <si>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</si>
  <si>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</si>
  <si>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</si>
  <si>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</si>
  <si>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</si>
  <si>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</si>
  <si>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</si>
  <si>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</si>
  <si>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</si>
  <si>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</si>
  <si>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</si>
  <si>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</si>
  <si>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</si>
  <si>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</si>
  <si>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</si>
  <si>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</si>
  <si>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</si>
  <si>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</si>
  <si>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</si>
  <si>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</si>
  <si>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</si>
  <si>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</si>
  <si>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</si>
  <si>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</si>
  <si>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</si>
  <si>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</si>
  <si>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</si>
  <si>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</si>
  <si>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</si>
  <si>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</si>
  <si>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</si>
  <si>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</si>
  <si>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</si>
  <si>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</si>
  <si>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</si>
  <si>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</si>
  <si>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</si>
  <si>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</si>
  <si>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</si>
  <si>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</si>
  <si>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</si>
  <si>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</si>
  <si>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</si>
  <si>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</si>
  <si>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</si>
  <si>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</si>
  <si>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</si>
  <si>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</si>
  <si>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</si>
  <si>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</si>
  <si>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FY24</t>
  </si>
  <si>
    <t>Total Change FY23/FY24</t>
  </si>
  <si>
    <t>Percent Change FY23/FY24</t>
  </si>
  <si>
    <t>Change FY23 to FY24</t>
  </si>
  <si>
    <t>Net Interest on Checking Account</t>
  </si>
  <si>
    <t>Adjusted FY24</t>
  </si>
  <si>
    <t>Morgan Wolaver</t>
  </si>
  <si>
    <t>Erin Farr</t>
  </si>
  <si>
    <t>Signed by Richmond Water and Sewer Commission on this ______ day of _______, 2023.</t>
  </si>
  <si>
    <t>Billed for usage between 7/1/23 - 6/30/24</t>
  </si>
  <si>
    <t>FY2024 Water and Sewer Rate Sheet</t>
  </si>
  <si>
    <t>Draft as of 5/16/23</t>
  </si>
  <si>
    <t>Billed for usage between 7/1/24 - 6/30/25</t>
  </si>
  <si>
    <t>Using Usage from 4/1/23 - 3/31/24</t>
  </si>
  <si>
    <t>FY25</t>
  </si>
  <si>
    <t>Total Change FY24/FY25</t>
  </si>
  <si>
    <t>Percent Change FY24/FY25</t>
  </si>
  <si>
    <t>Change FY24 to FY25</t>
  </si>
  <si>
    <t>Adjusted FY25</t>
  </si>
  <si>
    <t>Signed by Richmond Water and Sewer Commission on this ______ day of _______, 2024.</t>
  </si>
  <si>
    <t>Morgan Wolaver, Chair</t>
  </si>
  <si>
    <t xml:space="preserve">Percentage of use in past 4 quarters. </t>
  </si>
  <si>
    <t>Metered/Usage</t>
  </si>
  <si>
    <t>Fixed per unit. Usage per 1000 gal.</t>
  </si>
  <si>
    <t>Erin Farr, Vice Chair</t>
  </si>
  <si>
    <t>FY2025 Water and Sewer Rate Sheet</t>
  </si>
  <si>
    <t>Final Draft For Annual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</si>
</sst>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5FB0-A697-44C1-9CC2-6CE415347024}">
  <dimension ref="A1:W151"/>
  <sheetViews>
    <sheetView tabSelected="1" view="pageBreakPreview" zoomScale="75" zoomScaleNormal="100" zoomScaleSheetLayoutView="75" workbookViewId="0">
      <selection activeCell="A6" sqref="A6"/>
    </sheetView>
  </sheetViews>
  <sheetFormatPr defaultColWidth="9" defaultRowHeight="15"/>
  <cols>
    <col min="1" max="1" width="14.375" style="150" customWidth="1"/>
    <col min="2" max="2" width="13.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270</v>
      </c>
      <c r="O1" s="151"/>
      <c r="P1" s="151"/>
    </row>
    <row r="2" spans="1:16" s="150" customFormat="1">
      <c r="A2" s="150" t="s">
        <v>257</v>
      </c>
      <c r="O2" s="151"/>
      <c r="P2" s="151"/>
    </row>
    <row r="3" spans="1:16" s="150" customFormat="1">
      <c r="A3" s="283" t="s">
        <v>205</v>
      </c>
      <c r="B3" s="283"/>
      <c r="C3" s="283"/>
      <c r="O3" s="151"/>
      <c r="P3" s="151"/>
    </row>
    <row r="4" spans="1:16" s="150" customFormat="1">
      <c r="A4" s="152" t="s">
        <v>258</v>
      </c>
      <c r="B4" s="152"/>
      <c r="O4" s="151"/>
      <c r="P4" s="151"/>
    </row>
    <row r="5" spans="1:16" s="150" customFormat="1">
      <c r="A5" s="152" t="s">
        <v>271</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245</v>
      </c>
      <c r="B9" s="317"/>
      <c r="D9" s="162">
        <v>378283</v>
      </c>
      <c r="E9" s="162">
        <v>857874</v>
      </c>
      <c r="F9" s="163">
        <f>D9+E9</f>
        <v>1236157</v>
      </c>
      <c r="O9" s="151"/>
      <c r="P9" s="151"/>
    </row>
    <row r="10" spans="1:16" s="150" customFormat="1">
      <c r="A10" s="318" t="s">
        <v>259</v>
      </c>
      <c r="B10" s="319"/>
      <c r="C10" s="207"/>
      <c r="D10" s="274">
        <v>398433</v>
      </c>
      <c r="E10" s="274">
        <v>881800</v>
      </c>
      <c r="F10" s="263">
        <f>D10+E10</f>
        <v>1280233</v>
      </c>
      <c r="O10" s="151"/>
      <c r="P10" s="151"/>
    </row>
    <row r="11" spans="1:16" s="150" customFormat="1">
      <c r="A11" s="155" t="s">
        <v>260</v>
      </c>
      <c r="D11" s="162">
        <f>D10-D9</f>
        <v>20150</v>
      </c>
      <c r="E11" s="162">
        <f>E10-E9</f>
        <v>23926</v>
      </c>
      <c r="F11" s="163">
        <f>D11+E11</f>
        <v>44076</v>
      </c>
      <c r="O11" s="151"/>
      <c r="P11" s="151"/>
    </row>
    <row r="12" spans="1:16" s="150" customFormat="1">
      <c r="A12" s="158" t="s">
        <v>261</v>
      </c>
      <c r="B12" s="170"/>
      <c r="C12" s="170"/>
      <c r="D12" s="159">
        <f>D11/D9</f>
        <v>5.326699851698332E-2</v>
      </c>
      <c r="E12" s="159">
        <f>E11/E9</f>
        <v>2.7889876601925226E-2</v>
      </c>
      <c r="F12" s="160">
        <f>F11/F9</f>
        <v>3.5655665097556376E-2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475.47015507299778</v>
      </c>
      <c r="N19" s="151"/>
      <c r="O19" s="151"/>
    </row>
    <row r="20" spans="1:16" s="150" customFormat="1">
      <c r="A20" s="155" t="s">
        <v>195</v>
      </c>
      <c r="F20" s="178">
        <f>SUM(D91)*0.5</f>
        <v>345.1459603536947</v>
      </c>
      <c r="N20" s="151"/>
      <c r="O20" s="151"/>
    </row>
    <row r="21" spans="1:16" s="150" customFormat="1">
      <c r="A21" s="158" t="s">
        <v>196</v>
      </c>
      <c r="B21" s="170"/>
      <c r="C21" s="170"/>
      <c r="D21" s="170"/>
      <c r="E21" s="170"/>
      <c r="F21" s="179">
        <f>SUM(J91)*0.5</f>
        <v>206.72615437956426</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259</v>
      </c>
      <c r="E24" s="302"/>
      <c r="F24" s="301" t="s">
        <v>245</v>
      </c>
      <c r="G24" s="302"/>
      <c r="H24" s="301" t="s">
        <v>262</v>
      </c>
      <c r="I24" s="303"/>
      <c r="J24" s="304" t="s">
        <v>259</v>
      </c>
      <c r="K24" s="302"/>
      <c r="L24" s="301" t="s">
        <v>245</v>
      </c>
      <c r="M24" s="302"/>
      <c r="N24" s="301" t="s">
        <v>262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475.47</v>
      </c>
      <c r="K27" s="209">
        <f>SUM(J59*J27)</f>
        <v>475.47</v>
      </c>
      <c r="L27" s="191">
        <f>SUM('FY24 Final'!J27)</f>
        <v>362.25</v>
      </c>
      <c r="M27" s="209">
        <f>SUM('FY24 Final'!K27)</f>
        <v>362.25</v>
      </c>
      <c r="N27" s="218">
        <f>SUM(J27-L27)</f>
        <v>113.22000000000003</v>
      </c>
      <c r="O27" s="215">
        <f>SUM(N27/L27)</f>
        <v>0.31254658385093176</v>
      </c>
    </row>
    <row r="28" spans="1:16" s="150" customFormat="1">
      <c r="A28" s="155"/>
      <c r="B28" s="150" t="s">
        <v>158</v>
      </c>
      <c r="D28" s="155"/>
      <c r="E28" s="165"/>
      <c r="F28" s="155"/>
      <c r="G28" s="165"/>
      <c r="H28" s="155"/>
      <c r="J28" s="228"/>
      <c r="K28" s="209">
        <f>SUM(K29-K27)</f>
        <v>7724.53</v>
      </c>
      <c r="L28" s="191"/>
      <c r="M28" s="209">
        <f>SUM('FY24 Final'!K28)</f>
        <v>6337.75</v>
      </c>
      <c r="N28" s="250"/>
      <c r="O28" s="168"/>
    </row>
    <row r="29" spans="1:16" s="150" customFormat="1">
      <c r="A29" s="158"/>
      <c r="B29" s="203" t="s">
        <v>160</v>
      </c>
      <c r="C29" s="203"/>
      <c r="D29" s="204"/>
      <c r="E29" s="206"/>
      <c r="F29" s="204"/>
      <c r="G29" s="206"/>
      <c r="H29" s="204"/>
      <c r="I29" s="203"/>
      <c r="J29" s="226"/>
      <c r="K29" s="280">
        <v>8200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345.15</v>
      </c>
      <c r="E31" s="209">
        <f>SUM(D31*F60)</f>
        <v>1725.75</v>
      </c>
      <c r="F31" s="191">
        <f>SUM('FY24 Final'!D31)</f>
        <v>270.51</v>
      </c>
      <c r="G31" s="209">
        <f>SUM('FY24 Final'!E31)</f>
        <v>1082.04</v>
      </c>
      <c r="H31" s="191">
        <f>SUM(D31-F31)</f>
        <v>74.639999999999986</v>
      </c>
      <c r="I31" s="166">
        <f>SUM(H31/F31)</f>
        <v>0.27592325607186424</v>
      </c>
      <c r="J31" s="281">
        <v>206.73</v>
      </c>
      <c r="K31" s="209">
        <f>SUM(J31*J60)</f>
        <v>826.92</v>
      </c>
      <c r="L31" s="191">
        <f>SUM('FY24 Final'!J31)</f>
        <v>157.37</v>
      </c>
      <c r="M31" s="209">
        <f>SUM('FY24 Final'!K31)</f>
        <v>472.11</v>
      </c>
      <c r="N31" s="218">
        <f>SUM(J31-L31)</f>
        <v>49.359999999999985</v>
      </c>
      <c r="O31" s="215">
        <f>SUM(N31/L31)</f>
        <v>0.31365571582893809</v>
      </c>
    </row>
    <row r="32" spans="1:16" s="150" customFormat="1">
      <c r="A32" s="158"/>
      <c r="B32" s="203" t="s">
        <v>160</v>
      </c>
      <c r="C32" s="203"/>
      <c r="D32" s="204"/>
      <c r="E32" s="213">
        <f>SUM(E31)</f>
        <v>1725.75</v>
      </c>
      <c r="F32" s="217"/>
      <c r="G32" s="213">
        <f>SUM(G31)</f>
        <v>1082.04</v>
      </c>
      <c r="H32" s="204"/>
      <c r="I32" s="203"/>
      <c r="J32" s="226"/>
      <c r="K32" s="213">
        <f>SUM(K31)</f>
        <v>826.92</v>
      </c>
      <c r="L32" s="217"/>
      <c r="M32" s="213">
        <f>SUM(M31)</f>
        <v>472.11</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259</v>
      </c>
      <c r="E35" s="302"/>
      <c r="F35" s="301" t="s">
        <v>245</v>
      </c>
      <c r="G35" s="302"/>
      <c r="H35" s="188"/>
      <c r="I35" s="152"/>
      <c r="J35" s="304" t="s">
        <v>259</v>
      </c>
      <c r="K35" s="302"/>
      <c r="L35" s="301" t="s">
        <v>245</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2000</v>
      </c>
      <c r="F37" s="164"/>
      <c r="G37" s="294">
        <v>1500</v>
      </c>
      <c r="H37" s="220"/>
      <c r="I37" s="169"/>
      <c r="J37" s="227"/>
      <c r="K37" s="277">
        <v>0</v>
      </c>
      <c r="L37" s="164"/>
      <c r="M37" s="221">
        <v>0</v>
      </c>
      <c r="N37" s="151"/>
      <c r="O37" s="168"/>
    </row>
    <row r="38" spans="1:16" s="150" customFormat="1">
      <c r="A38" s="155"/>
      <c r="B38" s="150" t="s">
        <v>162</v>
      </c>
      <c r="D38" s="155"/>
      <c r="E38" s="278">
        <v>50688</v>
      </c>
      <c r="F38" s="192"/>
      <c r="G38" s="295">
        <v>49899</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500000</v>
      </c>
      <c r="L39" s="155"/>
      <c r="M39" s="209">
        <v>550000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11100</v>
      </c>
      <c r="F43" s="208"/>
      <c r="G43" s="295">
        <v>6000</v>
      </c>
      <c r="H43" s="172"/>
      <c r="I43" s="166"/>
      <c r="J43" s="229"/>
      <c r="K43" s="278">
        <v>25900</v>
      </c>
      <c r="L43" s="208"/>
      <c r="M43" s="209">
        <v>14000</v>
      </c>
      <c r="N43" s="151"/>
      <c r="O43" s="168"/>
    </row>
    <row r="44" spans="1:16" s="150" customFormat="1">
      <c r="A44" s="155"/>
      <c r="B44" s="150" t="s">
        <v>241</v>
      </c>
      <c r="D44" s="155"/>
      <c r="E44" s="278"/>
      <c r="F44" s="155"/>
      <c r="G44" s="295"/>
      <c r="J44" s="228"/>
      <c r="K44" s="278"/>
      <c r="L44" s="155"/>
      <c r="M44" s="209"/>
      <c r="N44" s="151"/>
      <c r="O44" s="168"/>
    </row>
    <row r="45" spans="1:16" s="150" customFormat="1">
      <c r="A45" s="158"/>
      <c r="B45" s="203" t="s">
        <v>165</v>
      </c>
      <c r="C45" s="203"/>
      <c r="D45" s="204"/>
      <c r="E45" s="213">
        <f>SUM(E37:E44)</f>
        <v>64288</v>
      </c>
      <c r="F45" s="222"/>
      <c r="G45" s="213">
        <f>SUM(G37:G44)</f>
        <v>57899</v>
      </c>
      <c r="H45" s="205"/>
      <c r="I45" s="205"/>
      <c r="J45" s="230"/>
      <c r="K45" s="213">
        <f>SUM(K37:K44)</f>
        <v>526900</v>
      </c>
      <c r="L45" s="222"/>
      <c r="M45" s="213">
        <f>SUM(M37:M44)</f>
        <v>565000</v>
      </c>
      <c r="N45" s="231"/>
      <c r="O45" s="232"/>
    </row>
    <row r="47" spans="1:16" s="150" customFormat="1">
      <c r="A47" s="260" t="s">
        <v>189</v>
      </c>
      <c r="B47" s="207"/>
      <c r="C47" s="207"/>
      <c r="D47" s="207"/>
      <c r="E47" s="261">
        <f>SUM(E29+E32+E45)</f>
        <v>66013.75</v>
      </c>
      <c r="F47" s="261"/>
      <c r="G47" s="261">
        <f>SUM(G29+G32+G45)</f>
        <v>58981.04</v>
      </c>
      <c r="H47" s="261"/>
      <c r="I47" s="261"/>
      <c r="J47" s="261"/>
      <c r="K47" s="261">
        <f>SUM(K29+K32+K45)</f>
        <v>535926.92000000004</v>
      </c>
      <c r="L47" s="261"/>
      <c r="M47" s="261">
        <f>SUM(M29+M32+M45)</f>
        <v>572172.11</v>
      </c>
      <c r="O47" s="151"/>
      <c r="P47" s="151"/>
    </row>
    <row r="48" spans="1:16" s="150" customFormat="1">
      <c r="A48" s="260" t="s">
        <v>190</v>
      </c>
      <c r="B48" s="207"/>
      <c r="C48" s="207"/>
      <c r="D48" s="207"/>
      <c r="E48" s="261">
        <f>SUM(D10-E47)</f>
        <v>332419.25</v>
      </c>
      <c r="F48" s="207"/>
      <c r="G48" s="261">
        <f>SUM(D9-G47)</f>
        <v>319301.96000000002</v>
      </c>
      <c r="H48" s="207"/>
      <c r="I48" s="207"/>
      <c r="J48" s="207"/>
      <c r="K48" s="261">
        <f>SUM(E10-K47)</f>
        <v>345873.07999999996</v>
      </c>
      <c r="L48" s="207"/>
      <c r="M48" s="261">
        <f>SUM(E9-M47)</f>
        <v>285701.89</v>
      </c>
      <c r="O48" s="151"/>
      <c r="P48" s="151"/>
    </row>
    <row r="50" spans="1:12" s="150" customFormat="1" ht="23.25">
      <c r="A50" s="264" t="s">
        <v>192</v>
      </c>
    </row>
    <row r="51" spans="1:12" s="150" customFormat="1">
      <c r="D51" s="156"/>
      <c r="E51" s="156"/>
      <c r="F51" s="156"/>
      <c r="G51" s="156"/>
    </row>
    <row r="52" spans="1:12" s="150" customFormat="1">
      <c r="A52" s="152" t="s">
        <v>266</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9430900</v>
      </c>
      <c r="D56" s="156">
        <f>C56/C$61</f>
        <v>0.47812883404479684</v>
      </c>
      <c r="E56" s="180">
        <f>SUM(C56*$E$55)</f>
        <v>9242282</v>
      </c>
      <c r="F56" s="284">
        <v>421</v>
      </c>
      <c r="G56" s="275">
        <v>9349600</v>
      </c>
      <c r="H56" s="156">
        <f>G56/G$61</f>
        <v>0.67632123377844644</v>
      </c>
      <c r="I56" s="180">
        <f>SUM(G56*$I$55)</f>
        <v>9162608</v>
      </c>
      <c r="J56" s="279">
        <v>419</v>
      </c>
    </row>
    <row r="57" spans="1:12" s="150" customFormat="1">
      <c r="A57" s="314" t="s">
        <v>132</v>
      </c>
      <c r="B57" s="315"/>
      <c r="C57" s="275">
        <v>9265800</v>
      </c>
      <c r="D57" s="157">
        <f>C57/C$61</f>
        <v>0.46975857558581668</v>
      </c>
      <c r="E57" s="180">
        <f t="shared" ref="E57:E58" si="0">SUM(C57*$E$55)</f>
        <v>9080484</v>
      </c>
      <c r="F57" s="284">
        <v>75</v>
      </c>
      <c r="G57" s="276">
        <v>3446700</v>
      </c>
      <c r="H57" s="157">
        <f>G57/G$61</f>
        <v>0.249323649831455</v>
      </c>
      <c r="I57" s="180">
        <f>SUM(G57*$I$55)</f>
        <v>3377766</v>
      </c>
      <c r="J57" s="279">
        <v>73</v>
      </c>
    </row>
    <row r="58" spans="1:12" s="150" customFormat="1">
      <c r="A58" s="155" t="s">
        <v>133</v>
      </c>
      <c r="C58" s="275">
        <v>1027900</v>
      </c>
      <c r="D58" s="156">
        <f>C58/C$61</f>
        <v>5.2112590369386452E-2</v>
      </c>
      <c r="E58" s="180">
        <f t="shared" si="0"/>
        <v>1007342</v>
      </c>
      <c r="F58" s="284">
        <v>3</v>
      </c>
      <c r="G58" s="275">
        <v>1027900</v>
      </c>
      <c r="H58" s="156">
        <f>G58/G$61</f>
        <v>7.4355116390098522E-2</v>
      </c>
      <c r="I58" s="180">
        <f>SUM(G58*$I$55)</f>
        <v>1007342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5</v>
      </c>
      <c r="G60" s="184"/>
      <c r="H60" s="156"/>
      <c r="I60" s="180"/>
      <c r="J60" s="296">
        <v>4</v>
      </c>
    </row>
    <row r="61" spans="1:12" s="150" customFormat="1">
      <c r="A61" s="158" t="s">
        <v>41</v>
      </c>
      <c r="B61" s="170"/>
      <c r="C61" s="186">
        <f>SUM(C56:C58)</f>
        <v>19724600</v>
      </c>
      <c r="D61" s="159">
        <f>SUM(D56:D58)</f>
        <v>1</v>
      </c>
      <c r="E61" s="181">
        <f>SUM(C61*$E$55)</f>
        <v>19330108</v>
      </c>
      <c r="F61" s="187"/>
      <c r="G61" s="186">
        <f>SUM(G56:G58)</f>
        <v>13824200</v>
      </c>
      <c r="H61" s="159">
        <f>SUM(H56:H58)</f>
        <v>0.99999999999999989</v>
      </c>
      <c r="I61" s="181">
        <f>SUM(G61*$I$55)</f>
        <v>13547716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263</v>
      </c>
      <c r="F66" s="161" t="s">
        <v>250</v>
      </c>
      <c r="H66" s="152" t="s">
        <v>185</v>
      </c>
      <c r="I66" s="152"/>
      <c r="J66" s="152"/>
      <c r="K66" s="152"/>
      <c r="L66" s="152"/>
    </row>
    <row r="67" spans="1:12" s="150" customFormat="1">
      <c r="A67" s="314" t="s">
        <v>43</v>
      </c>
      <c r="B67" s="315"/>
      <c r="C67" s="315"/>
      <c r="D67" s="166">
        <f>SUM(-(K68)*5/100)</f>
        <v>-2.5220760882936562E-2</v>
      </c>
      <c r="E67" s="166">
        <f>SUM(D56+D67)</f>
        <v>0.45290807316186027</v>
      </c>
      <c r="F67" s="173">
        <f>SUM('FY24 Final'!E67)</f>
        <v>0.53561537520951774</v>
      </c>
      <c r="J67" s="258" t="s">
        <v>186</v>
      </c>
      <c r="K67" s="307" t="s">
        <v>187</v>
      </c>
      <c r="L67" s="308"/>
    </row>
    <row r="68" spans="1:12" s="150" customFormat="1">
      <c r="A68" s="155" t="s">
        <v>132</v>
      </c>
      <c r="D68" s="166">
        <f>SUM(-(K69)*5/100)</f>
        <v>-2.4779239117063437E-2</v>
      </c>
      <c r="E68" s="166">
        <f>SUM(D57+D68)</f>
        <v>0.44497933646875326</v>
      </c>
      <c r="F68" s="173">
        <f>SUM('FY24 Final'!E68)</f>
        <v>0.36308645636906201</v>
      </c>
      <c r="H68" s="153" t="s">
        <v>43</v>
      </c>
      <c r="I68" s="154"/>
      <c r="J68" s="256">
        <f>SUM(C56)</f>
        <v>9430900</v>
      </c>
      <c r="K68" s="169">
        <f>SUM(J68/J70)</f>
        <v>0.50441521765873121</v>
      </c>
      <c r="L68" s="161"/>
    </row>
    <row r="69" spans="1:12" s="150" customFormat="1">
      <c r="A69" s="155" t="s">
        <v>206</v>
      </c>
      <c r="D69" s="166">
        <v>0.05</v>
      </c>
      <c r="E69" s="166">
        <f>SUM(D58+D69)</f>
        <v>0.10211259036938646</v>
      </c>
      <c r="F69" s="173">
        <f>SUM('FY24 Final'!E69)</f>
        <v>0.10129816842142023</v>
      </c>
      <c r="H69" s="188" t="s">
        <v>132</v>
      </c>
      <c r="J69" s="180">
        <f>SUM(C57)</f>
        <v>9265800</v>
      </c>
      <c r="K69" s="166">
        <f>SUM(J69/J70)</f>
        <v>0.49558478234126879</v>
      </c>
      <c r="L69" s="165"/>
    </row>
    <row r="70" spans="1:12" s="150" customFormat="1">
      <c r="A70" s="158" t="s">
        <v>142</v>
      </c>
      <c r="B70" s="170"/>
      <c r="C70" s="170"/>
      <c r="D70" s="170"/>
      <c r="E70" s="174">
        <f>SUM(E67:E69)</f>
        <v>1</v>
      </c>
      <c r="F70" s="175">
        <f>SUM(F67:F69)</f>
        <v>1</v>
      </c>
      <c r="H70" s="257" t="s">
        <v>142</v>
      </c>
      <c r="I70" s="170"/>
      <c r="J70" s="181">
        <f>SUM(J68:J69)</f>
        <v>18696700</v>
      </c>
      <c r="K70" s="170"/>
      <c r="L70" s="190"/>
    </row>
    <row r="72" spans="1:12" s="150" customFormat="1">
      <c r="A72" s="152" t="s">
        <v>143</v>
      </c>
    </row>
    <row r="73" spans="1:12" s="150" customFormat="1">
      <c r="A73" s="152"/>
      <c r="C73" s="297" t="s">
        <v>259</v>
      </c>
      <c r="D73" s="300"/>
      <c r="E73" s="297" t="s">
        <v>245</v>
      </c>
      <c r="F73" s="300"/>
    </row>
    <row r="74" spans="1:12" s="150" customFormat="1">
      <c r="A74" s="164"/>
      <c r="B74" s="154"/>
      <c r="C74" s="153" t="s">
        <v>2</v>
      </c>
      <c r="D74" s="176" t="s">
        <v>26</v>
      </c>
      <c r="E74" s="153" t="s">
        <v>2</v>
      </c>
      <c r="F74" s="176" t="s">
        <v>26</v>
      </c>
    </row>
    <row r="75" spans="1:12" s="150" customFormat="1">
      <c r="A75" s="309" t="s">
        <v>191</v>
      </c>
      <c r="B75" s="310"/>
      <c r="C75" s="208">
        <f>SUM(E48)</f>
        <v>332419.25</v>
      </c>
      <c r="D75" s="209">
        <f>SUM(K48)</f>
        <v>345873.07999999996</v>
      </c>
      <c r="E75" s="192">
        <f>SUM(G48)</f>
        <v>319301.96000000002</v>
      </c>
      <c r="F75" s="178">
        <f>SUM(M48)</f>
        <v>285701.89</v>
      </c>
    </row>
    <row r="76" spans="1:12" s="150" customFormat="1">
      <c r="A76" s="309"/>
      <c r="B76" s="310"/>
      <c r="C76" s="208"/>
      <c r="D76" s="209"/>
      <c r="E76" s="192"/>
      <c r="F76" s="178"/>
    </row>
    <row r="77" spans="1:12" s="150" customFormat="1">
      <c r="A77" s="155" t="s">
        <v>43</v>
      </c>
      <c r="C77" s="191">
        <f>SUM($C$75)*E67</f>
        <v>150555.36199941073</v>
      </c>
      <c r="D77" s="178">
        <f>SUM($D$75)*H56</f>
        <v>233921.30819635128</v>
      </c>
      <c r="E77" s="193">
        <f>SUM('FY24 Final'!C77)</f>
        <v>171023.03911053445</v>
      </c>
      <c r="F77" s="178">
        <f>SUM('FY24 Final'!D77)</f>
        <v>201592.67719560783</v>
      </c>
    </row>
    <row r="78" spans="1:12" s="150" customFormat="1">
      <c r="A78" s="155" t="s">
        <v>132</v>
      </c>
      <c r="C78" s="191">
        <f>SUM($C$75)*E68</f>
        <v>147919.69729444062</v>
      </c>
      <c r="D78" s="178">
        <f>SUM($D$75)*H57</f>
        <v>86234.338684046816</v>
      </c>
      <c r="E78" s="193">
        <f>SUM('FY24 Final'!C78)</f>
        <v>115934.21716809599</v>
      </c>
      <c r="F78" s="178">
        <f>SUM('FY24 Final'!D78)</f>
        <v>65700.009882666011</v>
      </c>
    </row>
    <row r="79" spans="1:12" s="150" customFormat="1">
      <c r="A79" s="158" t="s">
        <v>133</v>
      </c>
      <c r="B79" s="170"/>
      <c r="C79" s="265">
        <f>SUM($C$75)*E69</f>
        <v>33944.190706148671</v>
      </c>
      <c r="D79" s="179">
        <f>SUM($D$75)*H58</f>
        <v>25717.433119601854</v>
      </c>
      <c r="E79" s="266">
        <f>SUM('FY24 Final'!C79)</f>
        <v>32344.703721369588</v>
      </c>
      <c r="F79" s="179">
        <f>SUM('FY24 Final'!D79)</f>
        <v>18409.202921726162</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259</v>
      </c>
      <c r="E84" s="302"/>
      <c r="F84" s="301" t="s">
        <v>245</v>
      </c>
      <c r="G84" s="302"/>
      <c r="H84" s="301" t="s">
        <v>262</v>
      </c>
      <c r="I84" s="303"/>
      <c r="J84" s="304" t="s">
        <v>259</v>
      </c>
      <c r="K84" s="302"/>
      <c r="L84" s="301" t="s">
        <v>245</v>
      </c>
      <c r="M84" s="302"/>
      <c r="N84" s="305" t="s">
        <v>262</v>
      </c>
      <c r="O84" s="306"/>
      <c r="P84" s="150"/>
    </row>
    <row r="85" spans="1:16" ht="45">
      <c r="C85" s="155" t="s">
        <v>146</v>
      </c>
      <c r="D85" s="210" t="s">
        <v>150</v>
      </c>
      <c r="E85" s="165" t="s">
        <v>151</v>
      </c>
      <c r="F85" s="210" t="s">
        <v>150</v>
      </c>
      <c r="G85" s="165" t="s">
        <v>210</v>
      </c>
      <c r="H85" s="210" t="s">
        <v>154</v>
      </c>
      <c r="I85" s="196" t="s">
        <v>155</v>
      </c>
      <c r="J85" s="223" t="s">
        <v>268</v>
      </c>
      <c r="K85" s="165" t="s">
        <v>151</v>
      </c>
      <c r="L85" s="210" t="s">
        <v>268</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107.28410593782236</v>
      </c>
      <c r="E87" s="209">
        <f>SUM(D87*F56)</f>
        <v>45166.608599823216</v>
      </c>
      <c r="F87" s="212">
        <f>SUM('FY24 Final'!D87)</f>
        <v>121.86914900988202</v>
      </c>
      <c r="G87" s="209">
        <f>SUM('FY24 Final'!E87)</f>
        <v>51306.911733160334</v>
      </c>
      <c r="H87" s="191">
        <f>SUM(D87-F87)</f>
        <v>-14.585043072059662</v>
      </c>
      <c r="I87" s="167">
        <f>SUM(H87/F87)</f>
        <v>-0.11967789379473719</v>
      </c>
      <c r="J87" s="270">
        <f>SUM(D77*C87)/J56</f>
        <v>167.48542352960712</v>
      </c>
      <c r="K87" s="209">
        <f>SUM(J87*J56)</f>
        <v>70176.392458905379</v>
      </c>
      <c r="L87" s="212">
        <f>SUM('FY24 Final'!J87)</f>
        <v>144.33843235962374</v>
      </c>
      <c r="M87" s="209">
        <f>SUM('FY24 Final'!K87)</f>
        <v>60477.803158682349</v>
      </c>
      <c r="N87" s="177">
        <f>SUM(J87-L87)</f>
        <v>23.14699116998338</v>
      </c>
      <c r="O87" s="199">
        <f>SUM(N87/L87)</f>
        <v>0.16036609786859762</v>
      </c>
      <c r="P87" s="150"/>
    </row>
    <row r="88" spans="1:16">
      <c r="A88" s="155"/>
      <c r="B88" s="150" t="s">
        <v>267</v>
      </c>
      <c r="C88" s="198">
        <v>0.7</v>
      </c>
      <c r="D88" s="269">
        <f>SUM(C77*C88)/(E56*0.001)</f>
        <v>11.402893073332699</v>
      </c>
      <c r="E88" s="209">
        <f>SUM(D88)*(E56*0.001)</f>
        <v>105388.7533995875</v>
      </c>
      <c r="F88" s="212">
        <f>SUM('FY24 Final'!D88)</f>
        <v>12.574428316336938</v>
      </c>
      <c r="G88" s="209">
        <f>SUM('FY24 Final'!E88)</f>
        <v>119716.1273773741</v>
      </c>
      <c r="H88" s="191">
        <f>SUM(D88-F88)</f>
        <v>-1.1715352430042394</v>
      </c>
      <c r="I88" s="167">
        <f>SUM(H88/F88)</f>
        <v>-9.3168072021386328E-2</v>
      </c>
      <c r="J88" s="270">
        <f>SUM(D77*C88)/(I56*0.001)</f>
        <v>17.87099434325313</v>
      </c>
      <c r="K88" s="209">
        <f>SUM(J88)*(I56*0.001)</f>
        <v>163744.91573744587</v>
      </c>
      <c r="L88" s="191">
        <f>SUM('FY24 Final'!J88)</f>
        <v>14.918800383907223</v>
      </c>
      <c r="M88" s="209">
        <f>SUM('FY24 Final'!K88)</f>
        <v>141114.87403692547</v>
      </c>
      <c r="N88" s="177">
        <f>SUM(J88-L88)</f>
        <v>2.952193959345907</v>
      </c>
      <c r="O88" s="199">
        <f t="shared" ref="O88:O96" si="1">SUM(N88/L88)</f>
        <v>0.19788413836077678</v>
      </c>
      <c r="P88" s="150"/>
    </row>
    <row r="89" spans="1:16">
      <c r="A89" s="158"/>
      <c r="B89" s="170" t="s">
        <v>160</v>
      </c>
      <c r="C89" s="158"/>
      <c r="D89" s="158"/>
      <c r="E89" s="267">
        <f>SUM(E87:E88)</f>
        <v>150555.36199941073</v>
      </c>
      <c r="F89" s="158"/>
      <c r="G89" s="267">
        <f>SUM(G87:G88)</f>
        <v>171023.03911053442</v>
      </c>
      <c r="H89" s="158"/>
      <c r="I89" s="170"/>
      <c r="J89" s="239"/>
      <c r="K89" s="267">
        <f>SUM(K87:K88)</f>
        <v>233921.30819635125</v>
      </c>
      <c r="L89" s="158"/>
      <c r="M89" s="267">
        <f>SUM(M87:M88)</f>
        <v>201592.6771956078</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690.29192070738941</v>
      </c>
      <c r="E91" s="209">
        <f>SUM(D91*F57)</f>
        <v>51771.894053054202</v>
      </c>
      <c r="F91" s="212">
        <f>SUM('FY24 Final'!D91)</f>
        <v>541.02634678444781</v>
      </c>
      <c r="G91" s="209">
        <f>SUM('FY24 Final'!E91)</f>
        <v>40576.976008833582</v>
      </c>
      <c r="H91" s="191">
        <f>SUM(D91-F91)</f>
        <v>149.2655739229416</v>
      </c>
      <c r="I91" s="167">
        <f>SUM(H91/F91)</f>
        <v>0.27589335493565348</v>
      </c>
      <c r="J91" s="270">
        <f>SUM(D78*C91)/J57</f>
        <v>413.45230875912853</v>
      </c>
      <c r="K91" s="209">
        <f>SUM(J91*J57)</f>
        <v>30182.018539416382</v>
      </c>
      <c r="L91" s="212">
        <f>SUM('FY24 Final'!J91)</f>
        <v>315.00004738264522</v>
      </c>
      <c r="M91" s="209">
        <f>SUM('FY24 Final'!K91)</f>
        <v>22995.003458933101</v>
      </c>
      <c r="N91" s="177">
        <f>SUM(J91-L91)</f>
        <v>98.452261376483307</v>
      </c>
      <c r="O91" s="199">
        <f t="shared" si="1"/>
        <v>0.31254681449901106</v>
      </c>
      <c r="P91" s="150"/>
    </row>
    <row r="92" spans="1:16">
      <c r="A92" s="155"/>
      <c r="B92" s="150" t="s">
        <v>267</v>
      </c>
      <c r="C92" s="198">
        <v>0.65</v>
      </c>
      <c r="D92" s="269">
        <f>SUM(C78*C92)/(E57*0.001)</f>
        <v>10.588400710951795</v>
      </c>
      <c r="E92" s="209">
        <f>SUM(D92)*(E57*0.001)</f>
        <v>96147.803241386398</v>
      </c>
      <c r="F92" s="191">
        <f>SUM('FY24 Final'!D92)</f>
        <v>11.676254865170018</v>
      </c>
      <c r="G92" s="209">
        <f>SUM('FY24 Final'!E92)</f>
        <v>75357.241159262398</v>
      </c>
      <c r="H92" s="191">
        <f>SUM(D92-F92)</f>
        <v>-1.0878541542182223</v>
      </c>
      <c r="I92" s="167">
        <f>SUM(H92/F92)</f>
        <v>-9.3168072021386286E-2</v>
      </c>
      <c r="J92" s="270">
        <f>SUM(D78*C92)/(I57*0.001)</f>
        <v>16.594494747306484</v>
      </c>
      <c r="K92" s="209">
        <f>SUM(J92)*(I57*0.001)</f>
        <v>56052.320144630437</v>
      </c>
      <c r="L92" s="191">
        <f>SUM('FY24 Final'!J92)</f>
        <v>13.853171785056713</v>
      </c>
      <c r="M92" s="209">
        <f>SUM('FY24 Final'!K92)</f>
        <v>42705.006423732906</v>
      </c>
      <c r="N92" s="177">
        <f>SUM(J92-L92)</f>
        <v>2.7413229622497717</v>
      </c>
      <c r="O92" s="199">
        <f t="shared" si="1"/>
        <v>0.19788413836077678</v>
      </c>
      <c r="P92" s="150"/>
    </row>
    <row r="93" spans="1:16">
      <c r="A93" s="158"/>
      <c r="B93" s="170" t="s">
        <v>160</v>
      </c>
      <c r="C93" s="158"/>
      <c r="D93" s="158"/>
      <c r="E93" s="267">
        <f>SUM(E91:E92)</f>
        <v>147919.69729444059</v>
      </c>
      <c r="F93" s="158"/>
      <c r="G93" s="267">
        <f>SUM(G91:G92)</f>
        <v>115934.21716809599</v>
      </c>
      <c r="H93" s="158"/>
      <c r="I93" s="170"/>
      <c r="J93" s="239"/>
      <c r="K93" s="267">
        <f>SUM(K91:K92)</f>
        <v>86234.338684046816</v>
      </c>
      <c r="L93" s="158"/>
      <c r="M93" s="267">
        <f>SUM(M91:M92)</f>
        <v>65700.009882666011</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5657.3651176914454</v>
      </c>
      <c r="E95" s="209">
        <f>SUM(D95*F58)</f>
        <v>16972.095353074335</v>
      </c>
      <c r="F95" s="212">
        <f>SUM('FY24 Final'!D95)</f>
        <v>5390.7839535615976</v>
      </c>
      <c r="G95" s="209">
        <f>SUM('FY24 Final'!E95)</f>
        <v>16172.351860684794</v>
      </c>
      <c r="H95" s="191">
        <f>SUM(D95-F95)</f>
        <v>266.58116412984782</v>
      </c>
      <c r="I95" s="167">
        <f>SUM(H95/F95)</f>
        <v>4.9451279521918565E-2</v>
      </c>
      <c r="J95" s="270">
        <f>SUM(D79*C95)/J58</f>
        <v>4286.2388532669756</v>
      </c>
      <c r="K95" s="209">
        <f>SUM(J95*J58)</f>
        <v>12858.716559800927</v>
      </c>
      <c r="L95" s="212">
        <f>SUM('FY24 Final'!J95)</f>
        <v>3068.2004869543603</v>
      </c>
      <c r="M95" s="209">
        <f>SUM('FY24 Final'!K95)</f>
        <v>9204.6014608630812</v>
      </c>
      <c r="N95" s="177">
        <f>SUM(J95-L95)</f>
        <v>1218.0383663126154</v>
      </c>
      <c r="O95" s="199">
        <f t="shared" si="1"/>
        <v>0.39698786682668752</v>
      </c>
      <c r="P95" s="150"/>
    </row>
    <row r="96" spans="1:16">
      <c r="A96" s="155"/>
      <c r="B96" s="150" t="s">
        <v>267</v>
      </c>
      <c r="C96" s="198">
        <v>0.5</v>
      </c>
      <c r="D96" s="269">
        <f>SUM(C79*C96)/(E58*0.001)</f>
        <v>16.848394441087869</v>
      </c>
      <c r="E96" s="209">
        <f>SUM(D96)*(E58*0.001)</f>
        <v>16972.095353074335</v>
      </c>
      <c r="F96" s="191">
        <f>SUM('FY24 Final'!D96)</f>
        <v>18.722940614751106</v>
      </c>
      <c r="G96" s="209">
        <f>SUM('FY24 Final'!E96)</f>
        <v>16172.351860684794</v>
      </c>
      <c r="H96" s="191">
        <f>SUM(D96-F96)</f>
        <v>-1.8745461736632372</v>
      </c>
      <c r="I96" s="167">
        <f>SUM(H96/F96)</f>
        <v>-0.1001202862431958</v>
      </c>
      <c r="J96" s="270">
        <f>SUM(D79*C96)/(I58*0.001)</f>
        <v>12.764995959466525</v>
      </c>
      <c r="K96" s="209">
        <f>SUM(J96)*(I58*0.001)</f>
        <v>12858.716559800927</v>
      </c>
      <c r="L96" s="191">
        <f>SUM('FY24 Final'!J96)</f>
        <v>10.656285988505163</v>
      </c>
      <c r="M96" s="209">
        <f>SUM('FY24 Final'!K96)</f>
        <v>9204.6014608630812</v>
      </c>
      <c r="N96" s="177">
        <f>SUM(J96-L96)</f>
        <v>2.1087099709613621</v>
      </c>
      <c r="O96" s="199">
        <f t="shared" si="1"/>
        <v>0.19788413836077673</v>
      </c>
      <c r="P96" s="150"/>
    </row>
    <row r="97" spans="1:16">
      <c r="A97" s="158"/>
      <c r="B97" s="170" t="s">
        <v>160</v>
      </c>
      <c r="C97" s="158"/>
      <c r="D97" s="158"/>
      <c r="E97" s="267">
        <f>SUM(E95:E96)</f>
        <v>33944.190706148671</v>
      </c>
      <c r="F97" s="158"/>
      <c r="G97" s="267">
        <f>SUM(G95:G96)</f>
        <v>32344.703721369588</v>
      </c>
      <c r="H97" s="158"/>
      <c r="I97" s="170"/>
      <c r="J97" s="239"/>
      <c r="K97" s="267">
        <f>SUM(K95:K96)</f>
        <v>25717.433119601854</v>
      </c>
      <c r="L97" s="158"/>
      <c r="M97" s="267">
        <f>SUM(M95:M96)</f>
        <v>18409.202921726162</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177924.34800595176</v>
      </c>
      <c r="H103" s="209">
        <f>SUM(K87+K91+K95+K27+K32+(0.5*K39)+K41+K43)</f>
        <v>391419.51755812269</v>
      </c>
    </row>
    <row r="104" spans="1:16">
      <c r="A104" s="155" t="s">
        <v>171</v>
      </c>
      <c r="G104" s="208">
        <f>SUM(E88+E92+E96+E37)</f>
        <v>220508.65199404824</v>
      </c>
      <c r="H104" s="209">
        <f>SUM(K88+K92+K96+K28+(0.5*K39))</f>
        <v>490380.48244187725</v>
      </c>
    </row>
    <row r="105" spans="1:16">
      <c r="A105" s="155" t="s">
        <v>242</v>
      </c>
      <c r="G105" s="208">
        <f>E44</f>
        <v>0</v>
      </c>
      <c r="H105" s="209">
        <f>K44</f>
        <v>0</v>
      </c>
    </row>
    <row r="106" spans="1:16">
      <c r="A106" s="234" t="s">
        <v>142</v>
      </c>
      <c r="B106" s="207"/>
      <c r="C106" s="207"/>
      <c r="D106" s="207"/>
      <c r="E106" s="207"/>
      <c r="F106" s="207"/>
      <c r="G106" s="235">
        <f>SUM(G103:G105)</f>
        <v>398433</v>
      </c>
      <c r="H106" s="236">
        <f>SUM(H103:H105)</f>
        <v>881800</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0.85201792874461524</v>
      </c>
      <c r="H109" s="175">
        <f>SUM(1-(H108-H103)/H108)</f>
        <v>1.8960541252288698</v>
      </c>
    </row>
    <row r="111" spans="1:16" ht="23.25">
      <c r="A111" s="264" t="s">
        <v>174</v>
      </c>
    </row>
    <row r="112" spans="1:16">
      <c r="D112" s="297" t="s">
        <v>259</v>
      </c>
      <c r="E112" s="298"/>
      <c r="F112" s="299" t="s">
        <v>245</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0" t="s">
        <v>267</v>
      </c>
      <c r="D115" s="191">
        <f>SUM((E56/F56)/1000)*D88</f>
        <v>250.32958052158546</v>
      </c>
      <c r="E115" s="241">
        <f>SUM((I56/J56)/1000)*J88</f>
        <v>390.79932156908325</v>
      </c>
      <c r="F115" s="238">
        <f>SUM('FY24 Final'!D115)</f>
        <v>284.36134768972465</v>
      </c>
      <c r="G115" s="178">
        <f>SUM('FY24 Final'!E115)</f>
        <v>336.78967550578869</v>
      </c>
      <c r="O115" s="150"/>
      <c r="P115" s="150"/>
      <c r="Q115" s="150"/>
      <c r="R115" s="150"/>
      <c r="S115" s="150"/>
      <c r="T115" s="150"/>
      <c r="U115" s="150"/>
      <c r="V115" s="150"/>
      <c r="W115" s="150"/>
    </row>
    <row r="116" spans="1:23">
      <c r="A116" s="155" t="s">
        <v>175</v>
      </c>
      <c r="D116" s="191">
        <f>SUM(D87)</f>
        <v>107.28410593782236</v>
      </c>
      <c r="E116" s="241">
        <f>SUM(J87)</f>
        <v>167.48542352960712</v>
      </c>
      <c r="F116" s="238">
        <f>SUM('FY24 Final'!D116)</f>
        <v>121.86914900988202</v>
      </c>
      <c r="G116" s="178">
        <f>SUM('FY24 Final'!E116)</f>
        <v>144.33843235962374</v>
      </c>
      <c r="O116" s="150"/>
      <c r="P116" s="150"/>
      <c r="Q116" s="150"/>
      <c r="R116" s="150"/>
      <c r="S116" s="150"/>
      <c r="T116" s="150"/>
      <c r="U116" s="150"/>
      <c r="V116" s="150"/>
      <c r="W116" s="150"/>
    </row>
    <row r="117" spans="1:23">
      <c r="A117" s="155" t="s">
        <v>142</v>
      </c>
      <c r="D117" s="191">
        <f>SUM(D115:D116)</f>
        <v>357.6136864594078</v>
      </c>
      <c r="E117" s="241">
        <f>SUM(E115:E116)</f>
        <v>558.28474509869034</v>
      </c>
      <c r="F117" s="238">
        <f>SUM('FY24 Final'!D117)</f>
        <v>406.23049669960665</v>
      </c>
      <c r="G117" s="178">
        <f>SUM('FY24 Final'!E117)</f>
        <v>481.1281078654124</v>
      </c>
      <c r="O117" s="150"/>
      <c r="P117" s="150"/>
      <c r="Q117" s="150"/>
      <c r="R117" s="150"/>
      <c r="S117" s="150"/>
      <c r="T117" s="150"/>
      <c r="U117" s="150"/>
      <c r="V117" s="150"/>
      <c r="W117" s="150"/>
    </row>
    <row r="118" spans="1:23">
      <c r="A118" s="234" t="s">
        <v>176</v>
      </c>
      <c r="B118" s="207"/>
      <c r="C118" s="207"/>
      <c r="D118" s="244">
        <f>SUM(D117:E117)</f>
        <v>915.89843155809808</v>
      </c>
      <c r="E118" s="242"/>
      <c r="F118" s="238">
        <f>SUM('FY24 Final'!D118)</f>
        <v>887.35860456501905</v>
      </c>
      <c r="G118" s="178"/>
      <c r="O118" s="150"/>
      <c r="P118" s="150"/>
      <c r="Q118" s="150"/>
      <c r="R118" s="150"/>
      <c r="S118" s="150"/>
      <c r="T118" s="150"/>
      <c r="U118" s="150"/>
      <c r="V118" s="150"/>
      <c r="W118" s="150"/>
    </row>
    <row r="119" spans="1:23">
      <c r="A119" s="234" t="s">
        <v>177</v>
      </c>
      <c r="B119" s="207"/>
      <c r="C119" s="207"/>
      <c r="D119" s="244">
        <f>SUM(D118-F118)</f>
        <v>28.539826993079032</v>
      </c>
      <c r="E119" s="242"/>
      <c r="F119" s="228"/>
      <c r="G119" s="165"/>
      <c r="O119" s="150"/>
      <c r="P119" s="150"/>
      <c r="Q119" s="150"/>
      <c r="R119" s="150"/>
      <c r="S119" s="150"/>
      <c r="T119" s="150"/>
      <c r="U119" s="150"/>
      <c r="V119" s="150"/>
      <c r="W119" s="150"/>
    </row>
    <row r="120" spans="1:23">
      <c r="A120" s="204" t="s">
        <v>178</v>
      </c>
      <c r="B120" s="203"/>
      <c r="C120" s="203"/>
      <c r="D120" s="245">
        <f>SUM(D119/F118)</f>
        <v>3.2162675660387816E-2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0" t="s">
        <v>267</v>
      </c>
      <c r="D123" s="191">
        <f>SUM((E57/F57)/1000)*D92</f>
        <v>1281.9707098851518</v>
      </c>
      <c r="E123" s="241">
        <f>SUM((I57/J57)/1000)*J92</f>
        <v>767.84000198123886</v>
      </c>
      <c r="F123" s="238">
        <f>SUM('FY24 Final'!D123)</f>
        <v>1004.7632154568319</v>
      </c>
      <c r="G123" s="178">
        <f>SUM('FY24 Final'!E123)</f>
        <v>585.00008799634122</v>
      </c>
      <c r="O123" s="150"/>
      <c r="P123" s="150"/>
      <c r="Q123" s="150"/>
      <c r="R123" s="150"/>
      <c r="S123" s="150"/>
      <c r="T123" s="150"/>
      <c r="U123" s="150"/>
      <c r="V123" s="150"/>
      <c r="W123" s="150"/>
    </row>
    <row r="124" spans="1:23">
      <c r="A124" s="155" t="s">
        <v>175</v>
      </c>
      <c r="D124" s="191">
        <f>SUM(D91)</f>
        <v>690.29192070738941</v>
      </c>
      <c r="E124" s="241">
        <f>SUM(J91)</f>
        <v>413.45230875912853</v>
      </c>
      <c r="F124" s="238">
        <f>SUM('FY24 Final'!D124)</f>
        <v>541.02634678444781</v>
      </c>
      <c r="G124" s="178">
        <f>SUM('FY24 Final'!E124)</f>
        <v>315.00004738264522</v>
      </c>
      <c r="O124" s="150"/>
      <c r="P124" s="150"/>
      <c r="Q124" s="150"/>
      <c r="R124" s="150"/>
      <c r="S124" s="150"/>
      <c r="T124" s="150"/>
      <c r="U124" s="150"/>
      <c r="V124" s="150"/>
      <c r="W124" s="150"/>
    </row>
    <row r="125" spans="1:23">
      <c r="A125" s="155" t="s">
        <v>142</v>
      </c>
      <c r="D125" s="191">
        <f>SUM(D123:D124)</f>
        <v>1972.2626305925412</v>
      </c>
      <c r="E125" s="241">
        <f>SUM(E123:E124)</f>
        <v>1181.2923107403674</v>
      </c>
      <c r="F125" s="238">
        <f>SUM('FY24 Final'!D125)</f>
        <v>1545.7895622412798</v>
      </c>
      <c r="G125" s="178">
        <f>SUM('FY24 Final'!E125)</f>
        <v>900.00013537898644</v>
      </c>
      <c r="O125" s="150"/>
      <c r="P125" s="150"/>
      <c r="Q125" s="150"/>
      <c r="R125" s="150"/>
      <c r="S125" s="150"/>
      <c r="T125" s="150"/>
      <c r="U125" s="150"/>
      <c r="V125" s="150"/>
      <c r="W125" s="150"/>
    </row>
    <row r="126" spans="1:23">
      <c r="A126" s="234" t="s">
        <v>176</v>
      </c>
      <c r="B126" s="207"/>
      <c r="C126" s="207"/>
      <c r="D126" s="244">
        <f>SUM(D125:E125)</f>
        <v>3153.5549413329086</v>
      </c>
      <c r="E126" s="242"/>
      <c r="F126" s="238">
        <f>SUM('FY24 Final'!D126)</f>
        <v>2445.7896976202665</v>
      </c>
      <c r="G126" s="178"/>
      <c r="O126" s="150"/>
      <c r="P126" s="150"/>
      <c r="Q126" s="150"/>
      <c r="R126" s="150"/>
      <c r="S126" s="150"/>
      <c r="T126" s="150"/>
      <c r="U126" s="150"/>
      <c r="V126" s="150"/>
      <c r="W126" s="150"/>
    </row>
    <row r="127" spans="1:23">
      <c r="A127" s="234" t="s">
        <v>177</v>
      </c>
      <c r="B127" s="207"/>
      <c r="C127" s="207"/>
      <c r="D127" s="244">
        <f>SUM(D126-F126)</f>
        <v>707.76524371264213</v>
      </c>
      <c r="E127" s="242"/>
      <c r="F127" s="228"/>
      <c r="G127" s="165"/>
      <c r="O127" s="150"/>
      <c r="P127" s="150"/>
      <c r="Q127" s="150"/>
      <c r="R127" s="150"/>
      <c r="S127" s="150"/>
      <c r="T127" s="150"/>
      <c r="U127" s="150"/>
      <c r="V127" s="150"/>
      <c r="W127" s="150"/>
    </row>
    <row r="128" spans="1:23">
      <c r="A128" s="204" t="s">
        <v>178</v>
      </c>
      <c r="B128" s="203"/>
      <c r="C128" s="203"/>
      <c r="D128" s="245">
        <f>SUM(D127/F126)</f>
        <v>0.28938107164376886</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0" t="s">
        <v>267</v>
      </c>
      <c r="D131" s="191">
        <f>SUM((E58/F58)/1000)*D96</f>
        <v>5657.3651176914454</v>
      </c>
      <c r="E131" s="241">
        <f>SUM((I58/J58)/1000)*J96</f>
        <v>4286.2388532669756</v>
      </c>
      <c r="F131" s="238">
        <f>SUM('FY24 Final'!D131)</f>
        <v>5390.7839535615967</v>
      </c>
      <c r="G131" s="178">
        <f>SUM('FY24 Final'!E131)</f>
        <v>3068.2004869543603</v>
      </c>
      <c r="O131" s="150"/>
      <c r="P131" s="150"/>
      <c r="Q131" s="150"/>
      <c r="R131" s="150"/>
      <c r="S131" s="150"/>
      <c r="T131" s="150"/>
      <c r="U131" s="150"/>
      <c r="V131" s="150"/>
      <c r="W131" s="150"/>
    </row>
    <row r="132" spans="1:23">
      <c r="A132" s="155" t="s">
        <v>175</v>
      </c>
      <c r="D132" s="191">
        <f>SUM(D95)</f>
        <v>5657.3651176914454</v>
      </c>
      <c r="E132" s="241">
        <f>SUM(J95)</f>
        <v>4286.2388532669756</v>
      </c>
      <c r="F132" s="238">
        <f>SUM('FY24 Final'!D132)</f>
        <v>5390.7839535615976</v>
      </c>
      <c r="G132" s="178">
        <f>SUM('FY24 Final'!E132)</f>
        <v>3068.2004869543603</v>
      </c>
      <c r="O132" s="150"/>
      <c r="P132" s="150"/>
      <c r="Q132" s="150"/>
      <c r="R132" s="150"/>
      <c r="S132" s="150"/>
      <c r="T132" s="150"/>
      <c r="U132" s="150"/>
      <c r="V132" s="150"/>
      <c r="W132" s="150"/>
    </row>
    <row r="133" spans="1:23">
      <c r="A133" s="155" t="s">
        <v>142</v>
      </c>
      <c r="D133" s="191">
        <f>SUM(D131:D132)</f>
        <v>11314.730235382891</v>
      </c>
      <c r="E133" s="241">
        <f>SUM(E131:E132)</f>
        <v>8572.4777065339513</v>
      </c>
      <c r="F133" s="238">
        <f>SUM('FY24 Final'!D133)</f>
        <v>10781.567907123193</v>
      </c>
      <c r="G133" s="178">
        <f>SUM('FY24 Final'!E133)</f>
        <v>6136.4009739087205</v>
      </c>
      <c r="O133" s="150"/>
      <c r="P133" s="150"/>
      <c r="Q133" s="150"/>
      <c r="R133" s="150"/>
      <c r="S133" s="150"/>
      <c r="T133" s="150"/>
      <c r="U133" s="150"/>
      <c r="V133" s="150"/>
      <c r="W133" s="150"/>
    </row>
    <row r="134" spans="1:23">
      <c r="A134" s="234" t="s">
        <v>176</v>
      </c>
      <c r="B134" s="207"/>
      <c r="C134" s="207"/>
      <c r="D134" s="244">
        <f>SUM(D133:E133)</f>
        <v>19887.207941916844</v>
      </c>
      <c r="E134" s="242"/>
      <c r="F134" s="238">
        <f>SUM('FY24 Final'!D134)</f>
        <v>16917.968881031913</v>
      </c>
      <c r="G134" s="178"/>
      <c r="O134" s="150"/>
      <c r="P134" s="150"/>
      <c r="Q134" s="150"/>
      <c r="R134" s="150"/>
      <c r="S134" s="150"/>
      <c r="T134" s="150"/>
      <c r="U134" s="150"/>
      <c r="V134" s="150"/>
      <c r="W134" s="150"/>
    </row>
    <row r="135" spans="1:23">
      <c r="A135" s="234" t="s">
        <v>177</v>
      </c>
      <c r="B135" s="207"/>
      <c r="C135" s="207"/>
      <c r="D135" s="244">
        <f>SUM(D134-F134)</f>
        <v>2969.239060884931</v>
      </c>
      <c r="E135" s="242"/>
      <c r="F135" s="228"/>
      <c r="G135" s="165"/>
      <c r="O135" s="150"/>
      <c r="P135" s="150"/>
      <c r="Q135" s="150"/>
      <c r="R135" s="150"/>
      <c r="S135" s="150"/>
      <c r="T135" s="150"/>
      <c r="U135" s="150"/>
      <c r="V135" s="150"/>
      <c r="W135" s="150"/>
    </row>
    <row r="136" spans="1:23">
      <c r="A136" s="204" t="s">
        <v>178</v>
      </c>
      <c r="B136" s="203"/>
      <c r="C136" s="203"/>
      <c r="D136" s="245">
        <f>SUM(D135/F134)</f>
        <v>0.17550801055166748</v>
      </c>
      <c r="E136" s="243"/>
      <c r="F136" s="239"/>
      <c r="G136" s="190"/>
      <c r="O136" s="150"/>
      <c r="P136" s="150"/>
      <c r="Q136" s="150"/>
      <c r="R136" s="150"/>
      <c r="S136" s="150"/>
      <c r="T136" s="150"/>
      <c r="U136" s="150"/>
      <c r="V136" s="150"/>
      <c r="W136" s="150"/>
    </row>
    <row r="140" spans="1:23" ht="18.75">
      <c r="A140" s="259" t="s">
        <v>264</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265</v>
      </c>
      <c r="B143" s="290"/>
      <c r="C143" s="290"/>
      <c r="E143" s="290" t="s">
        <v>269</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213</v>
      </c>
      <c r="F147" s="290"/>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1"/>
  <sheetViews>
    <sheetView topLeftCell="A82" zoomScale="110" zoomScaleNormal="11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255</v>
      </c>
      <c r="O1" s="151"/>
      <c r="P1" s="151"/>
    </row>
    <row r="2" spans="1:16" s="150" customFormat="1">
      <c r="A2" s="292" t="s">
        <v>254</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256</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230</v>
      </c>
      <c r="B9" s="317"/>
      <c r="D9" s="162">
        <v>398534</v>
      </c>
      <c r="E9" s="162">
        <v>872219</v>
      </c>
      <c r="F9" s="163">
        <f>D9+E9</f>
        <v>1270753</v>
      </c>
      <c r="O9" s="151"/>
      <c r="P9" s="151"/>
    </row>
    <row r="10" spans="1:16" s="150" customFormat="1">
      <c r="A10" s="318" t="s">
        <v>245</v>
      </c>
      <c r="B10" s="319"/>
      <c r="C10" s="207"/>
      <c r="D10" s="274">
        <v>378283</v>
      </c>
      <c r="E10" s="274">
        <v>857874</v>
      </c>
      <c r="F10" s="263">
        <f>D10+E10</f>
        <v>1236157</v>
      </c>
      <c r="O10" s="151"/>
      <c r="P10" s="151"/>
    </row>
    <row r="11" spans="1:16" s="150" customFormat="1">
      <c r="A11" s="155" t="s">
        <v>246</v>
      </c>
      <c r="D11" s="162">
        <f>D10-D9</f>
        <v>-20251</v>
      </c>
      <c r="E11" s="162">
        <f>E10-E9</f>
        <v>-14345</v>
      </c>
      <c r="F11" s="163">
        <f>D11+E11</f>
        <v>-34596</v>
      </c>
      <c r="O11" s="151"/>
      <c r="P11" s="151"/>
    </row>
    <row r="12" spans="1:16" s="150" customFormat="1">
      <c r="A12" s="158" t="s">
        <v>247</v>
      </c>
      <c r="B12" s="170"/>
      <c r="C12" s="170"/>
      <c r="D12" s="159">
        <f>D11/D9</f>
        <v>-5.0813732328985735E-2</v>
      </c>
      <c r="E12" s="159">
        <f>E11/E9</f>
        <v>-1.6446557573270015E-2</v>
      </c>
      <c r="F12" s="160">
        <f>F11/F9</f>
        <v>-2.7224802931805001E-2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362.25005449004198</v>
      </c>
      <c r="N19" s="151"/>
      <c r="O19" s="151"/>
    </row>
    <row r="20" spans="1:16" s="150" customFormat="1">
      <c r="A20" s="155" t="s">
        <v>195</v>
      </c>
      <c r="F20" s="178">
        <f>SUM(D91)*0.5</f>
        <v>270.51317339222391</v>
      </c>
      <c r="N20" s="151"/>
      <c r="O20" s="151"/>
    </row>
    <row r="21" spans="1:16" s="150" customFormat="1">
      <c r="A21" s="158" t="s">
        <v>196</v>
      </c>
      <c r="B21" s="170"/>
      <c r="C21" s="170"/>
      <c r="D21" s="170"/>
      <c r="E21" s="170"/>
      <c r="F21" s="179">
        <f>SUM(J91)*0.5</f>
        <v>157.50002369132261</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245</v>
      </c>
      <c r="E24" s="302"/>
      <c r="F24" s="301" t="s">
        <v>230</v>
      </c>
      <c r="G24" s="302"/>
      <c r="H24" s="301" t="s">
        <v>248</v>
      </c>
      <c r="I24" s="303"/>
      <c r="J24" s="304" t="s">
        <v>245</v>
      </c>
      <c r="K24" s="302"/>
      <c r="L24" s="301" t="s">
        <v>230</v>
      </c>
      <c r="M24" s="302"/>
      <c r="N24" s="301" t="s">
        <v>248</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362.25</v>
      </c>
      <c r="K27" s="209">
        <f>SUM(J59*J27)</f>
        <v>362.25</v>
      </c>
      <c r="L27" s="191">
        <f>SUM('FY23 Final'!J27)</f>
        <v>525.17999999999995</v>
      </c>
      <c r="M27" s="209">
        <f>SUM('FY23 Final'!K27)</f>
        <v>525.17999999999995</v>
      </c>
      <c r="N27" s="218">
        <f>SUM(J27-L27)</f>
        <v>-162.92999999999995</v>
      </c>
      <c r="O27" s="215">
        <f>SUM(N27/L27)</f>
        <v>-0.31023649034616696</v>
      </c>
    </row>
    <row r="28" spans="1:16" s="150" customFormat="1">
      <c r="A28" s="155"/>
      <c r="B28" s="150" t="s">
        <v>158</v>
      </c>
      <c r="D28" s="155"/>
      <c r="E28" s="165"/>
      <c r="F28" s="155"/>
      <c r="G28" s="165"/>
      <c r="H28" s="155"/>
      <c r="J28" s="228"/>
      <c r="K28" s="209">
        <f>SUM(K29-K27)</f>
        <v>6337.75</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270.51</v>
      </c>
      <c r="E31" s="209">
        <f>SUM(D31*F60)</f>
        <v>1082.04</v>
      </c>
      <c r="F31" s="191">
        <f>SUM('FY23 Final'!D31)</f>
        <v>297.86</v>
      </c>
      <c r="G31" s="209">
        <f>SUM('FY23 Final'!E31)</f>
        <v>1191.44</v>
      </c>
      <c r="H31" s="191">
        <f>SUM(D31-F31)</f>
        <v>-27.350000000000023</v>
      </c>
      <c r="I31" s="166">
        <f>SUM(H31/F31)</f>
        <v>-9.1821661183106223E-2</v>
      </c>
      <c r="J31" s="281">
        <v>157.37</v>
      </c>
      <c r="K31" s="209">
        <f>SUM(J31*J60)</f>
        <v>472.11</v>
      </c>
      <c r="L31" s="191">
        <f>SUM('FY23 Final'!J31)</f>
        <v>228.34</v>
      </c>
      <c r="M31" s="209">
        <f>SUM('FY23 Final'!K31)</f>
        <v>685.02</v>
      </c>
      <c r="N31" s="218">
        <f>SUM(J31-L31)</f>
        <v>-70.97</v>
      </c>
      <c r="O31" s="215">
        <f>SUM(N31/L31)</f>
        <v>-0.31080844354909343</v>
      </c>
    </row>
    <row r="32" spans="1:16" s="150" customFormat="1">
      <c r="A32" s="158"/>
      <c r="B32" s="203" t="s">
        <v>160</v>
      </c>
      <c r="C32" s="203"/>
      <c r="D32" s="204"/>
      <c r="E32" s="213">
        <f>SUM(E31)</f>
        <v>1082.04</v>
      </c>
      <c r="F32" s="217"/>
      <c r="G32" s="213">
        <f>SUM(G31)</f>
        <v>1191.44</v>
      </c>
      <c r="H32" s="204"/>
      <c r="I32" s="203"/>
      <c r="J32" s="226"/>
      <c r="K32" s="213">
        <f>SUM(K31)</f>
        <v>472.11</v>
      </c>
      <c r="L32" s="217"/>
      <c r="M32" s="213">
        <f>SUM(M31)</f>
        <v>685.02</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245</v>
      </c>
      <c r="E35" s="302"/>
      <c r="F35" s="301" t="s">
        <v>230</v>
      </c>
      <c r="G35" s="302"/>
      <c r="H35" s="188"/>
      <c r="I35" s="152"/>
      <c r="J35" s="304" t="s">
        <v>245</v>
      </c>
      <c r="K35" s="302"/>
      <c r="L35" s="301" t="s">
        <v>230</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49899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550000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249</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c r="F44" s="155"/>
      <c r="G44" s="295">
        <v>27339</v>
      </c>
      <c r="J44" s="228"/>
      <c r="K44" s="278"/>
      <c r="L44" s="155"/>
      <c r="M44" s="209">
        <v>48394</v>
      </c>
      <c r="N44" s="151"/>
      <c r="O44" s="168"/>
    </row>
    <row r="45" spans="1:16" s="150" customFormat="1">
      <c r="A45" s="158"/>
      <c r="B45" s="203" t="s">
        <v>165</v>
      </c>
      <c r="C45" s="203"/>
      <c r="D45" s="204"/>
      <c r="E45" s="213">
        <f>SUM(E37:E44)</f>
        <v>57899</v>
      </c>
      <c r="F45" s="222"/>
      <c r="G45" s="213">
        <f>SUM(G37:G44)</f>
        <v>80987</v>
      </c>
      <c r="H45" s="205"/>
      <c r="I45" s="205"/>
      <c r="J45" s="230"/>
      <c r="K45" s="213">
        <f>SUM(K37:K44)</f>
        <v>565000</v>
      </c>
      <c r="L45" s="222"/>
      <c r="M45" s="213">
        <f>SUM(M37:M44)</f>
        <v>510894</v>
      </c>
      <c r="N45" s="231"/>
      <c r="O45" s="232"/>
    </row>
    <row r="47" spans="1:16" s="150" customFormat="1">
      <c r="A47" s="260" t="s">
        <v>189</v>
      </c>
      <c r="B47" s="207"/>
      <c r="C47" s="207"/>
      <c r="D47" s="207"/>
      <c r="E47" s="261">
        <f>SUM(E29+E32+E45)</f>
        <v>58981.04</v>
      </c>
      <c r="F47" s="261"/>
      <c r="G47" s="261">
        <f>SUM(G29+G32+G45)</f>
        <v>82178.44</v>
      </c>
      <c r="H47" s="261"/>
      <c r="I47" s="261"/>
      <c r="J47" s="261"/>
      <c r="K47" s="261">
        <f>SUM(K29+K32+K45)</f>
        <v>572172.11</v>
      </c>
      <c r="L47" s="261"/>
      <c r="M47" s="261">
        <f>SUM(M29+M32+M45)</f>
        <v>518279.02</v>
      </c>
      <c r="O47" s="151"/>
      <c r="P47" s="151"/>
    </row>
    <row r="48" spans="1:16" s="150" customFormat="1">
      <c r="A48" s="260" t="s">
        <v>190</v>
      </c>
      <c r="B48" s="207"/>
      <c r="C48" s="207"/>
      <c r="D48" s="207"/>
      <c r="E48" s="261">
        <f>SUM(D10-E47)</f>
        <v>319301.96000000002</v>
      </c>
      <c r="F48" s="207"/>
      <c r="G48" s="261">
        <f>SUM(D9-G47)</f>
        <v>316355.56</v>
      </c>
      <c r="H48" s="207"/>
      <c r="I48" s="207"/>
      <c r="J48" s="207"/>
      <c r="K48" s="261">
        <f>SUM(E10-K47)</f>
        <v>285701.89</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4" t="s">
        <v>132</v>
      </c>
      <c r="B57" s="315"/>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250</v>
      </c>
      <c r="F66" s="161" t="s">
        <v>234</v>
      </c>
      <c r="H66" s="152" t="s">
        <v>185</v>
      </c>
      <c r="I66" s="152"/>
      <c r="J66" s="152"/>
      <c r="K66" s="152"/>
      <c r="L66" s="152"/>
    </row>
    <row r="67" spans="1:12" s="150" customFormat="1">
      <c r="A67" s="314" t="s">
        <v>43</v>
      </c>
      <c r="B67" s="315"/>
      <c r="C67" s="315"/>
      <c r="D67" s="166">
        <f>SUM(-(K68)*5/100)</f>
        <v>-2.9799392656666975E-2</v>
      </c>
      <c r="E67" s="166">
        <f>SUM(D56+D67)</f>
        <v>0.53561537520951774</v>
      </c>
      <c r="F67" s="173">
        <f>SUM('FY23 Final'!E67)</f>
        <v>0.54275813057185429</v>
      </c>
      <c r="J67" s="258" t="s">
        <v>186</v>
      </c>
      <c r="K67" s="307" t="s">
        <v>187</v>
      </c>
      <c r="L67" s="308"/>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297" t="s">
        <v>245</v>
      </c>
      <c r="D73" s="300"/>
      <c r="E73" s="297" t="s">
        <v>230</v>
      </c>
      <c r="F73" s="300"/>
    </row>
    <row r="74" spans="1:12" s="150" customFormat="1">
      <c r="A74" s="164"/>
      <c r="B74" s="154"/>
      <c r="C74" s="153" t="s">
        <v>2</v>
      </c>
      <c r="D74" s="176" t="s">
        <v>26</v>
      </c>
      <c r="E74" s="153" t="s">
        <v>2</v>
      </c>
      <c r="F74" s="176" t="s">
        <v>26</v>
      </c>
    </row>
    <row r="75" spans="1:12" s="150" customFormat="1">
      <c r="A75" s="309" t="s">
        <v>191</v>
      </c>
      <c r="B75" s="310"/>
      <c r="C75" s="208">
        <f>SUM(E48)</f>
        <v>319301.96000000002</v>
      </c>
      <c r="D75" s="209">
        <f>SUM(K48)</f>
        <v>285701.89</v>
      </c>
      <c r="E75" s="192">
        <f>SUM(G48)</f>
        <v>316355.56</v>
      </c>
      <c r="F75" s="178">
        <f>SUM(M48)</f>
        <v>353939.98</v>
      </c>
    </row>
    <row r="76" spans="1:12" s="150" customFormat="1">
      <c r="A76" s="309"/>
      <c r="B76" s="310"/>
      <c r="C76" s="208"/>
      <c r="D76" s="209"/>
      <c r="E76" s="192"/>
      <c r="F76" s="178"/>
    </row>
    <row r="77" spans="1:12" s="150" customFormat="1">
      <c r="A77" s="155" t="s">
        <v>43</v>
      </c>
      <c r="C77" s="191">
        <f>SUM($C$75)*E67</f>
        <v>171023.03911053445</v>
      </c>
      <c r="D77" s="178">
        <f>SUM($D$75)*H56</f>
        <v>201592.67719560783</v>
      </c>
      <c r="E77" s="193">
        <f>SUM('FY23 Final'!C77)</f>
        <v>171704.55234161209</v>
      </c>
      <c r="F77" s="178">
        <f>SUM('FY23 Final'!D77)</f>
        <v>247855.75598569581</v>
      </c>
    </row>
    <row r="78" spans="1:12" s="150" customFormat="1">
      <c r="A78" s="155" t="s">
        <v>132</v>
      </c>
      <c r="C78" s="191">
        <f>SUM($C$75)*E68</f>
        <v>115934.21716809599</v>
      </c>
      <c r="D78" s="178">
        <f>SUM($D$75)*H57</f>
        <v>65700.009882666011</v>
      </c>
      <c r="E78" s="193">
        <f>SUM('FY23 Final'!C78)</f>
        <v>113252.85730866299</v>
      </c>
      <c r="F78" s="178">
        <f>SUM('FY23 Final'!D78)</f>
        <v>84488.931049757666</v>
      </c>
    </row>
    <row r="79" spans="1:12" s="150" customFormat="1">
      <c r="A79" s="158" t="s">
        <v>133</v>
      </c>
      <c r="B79" s="170"/>
      <c r="C79" s="265">
        <f>SUM($C$75)*E69</f>
        <v>32344.703721369588</v>
      </c>
      <c r="D79" s="179">
        <f>SUM($D$75)*H58</f>
        <v>18409.202921726162</v>
      </c>
      <c r="E79" s="266">
        <f>SUM('FY23 Final'!C79)</f>
        <v>31398.150349724889</v>
      </c>
      <c r="F79" s="179">
        <f>SUM('FY23 Final'!D79)</f>
        <v>21595.292964546497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245</v>
      </c>
      <c r="E84" s="302"/>
      <c r="F84" s="301" t="s">
        <v>230</v>
      </c>
      <c r="G84" s="302"/>
      <c r="H84" s="301" t="s">
        <v>248</v>
      </c>
      <c r="I84" s="303"/>
      <c r="J84" s="304" t="s">
        <v>245</v>
      </c>
      <c r="K84" s="302"/>
      <c r="L84" s="301" t="s">
        <v>230</v>
      </c>
      <c r="M84" s="302"/>
      <c r="N84" s="305" t="s">
        <v>248</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121.86914900988202</v>
      </c>
      <c r="E87" s="209">
        <f>SUM(D87*F56)</f>
        <v>51306.911733160334</v>
      </c>
      <c r="F87" s="212">
        <f>SUM('FY23 Final'!D87)</f>
        <v>122.06484763621711</v>
      </c>
      <c r="G87" s="209">
        <f>SUM('FY23 Final'!E87)</f>
        <v>51511.365702483621</v>
      </c>
      <c r="H87" s="191">
        <f>SUM(D87-F87)</f>
        <v>-0.19569862633508706</v>
      </c>
      <c r="I87" s="167">
        <f>SUM(H87/F87)</f>
        <v>-1.6032349208210744E-3</v>
      </c>
      <c r="J87" s="270">
        <f>SUM(D77*C87)/J56</f>
        <v>144.33843235962374</v>
      </c>
      <c r="K87" s="209">
        <f>SUM(J87*J56)</f>
        <v>60477.803158682349</v>
      </c>
      <c r="L87" s="212">
        <f>SUM('FY23 Final'!J87)</f>
        <v>177.46235512102325</v>
      </c>
      <c r="M87" s="209">
        <f>SUM('FY23 Final'!K87)</f>
        <v>74356.726795708746</v>
      </c>
      <c r="N87" s="177">
        <f>SUM(J87-L87)</f>
        <v>-33.123922761399513</v>
      </c>
      <c r="O87" s="199">
        <f>SUM(N87/L87)</f>
        <v>-0.18665323549217033</v>
      </c>
      <c r="P87" s="150"/>
    </row>
    <row r="88" spans="1:16">
      <c r="A88" s="155"/>
      <c r="B88" s="150" t="s">
        <v>147</v>
      </c>
      <c r="C88" s="198">
        <v>0.7</v>
      </c>
      <c r="D88" s="269">
        <f>SUM(C77*C88)/(E56*0.001)</f>
        <v>12.574428316336938</v>
      </c>
      <c r="E88" s="209">
        <f>SUM(D88)*(E56*0.001)</f>
        <v>119716.1273773741</v>
      </c>
      <c r="F88" s="212">
        <f>SUM('FY23 Final'!D88)</f>
        <v>12.334547767384791</v>
      </c>
      <c r="G88" s="209">
        <f>SUM('FY23 Final'!E88)</f>
        <v>120193.18663912846</v>
      </c>
      <c r="H88" s="191">
        <f>SUM(D88-F88)</f>
        <v>0.23988054895214717</v>
      </c>
      <c r="I88" s="167">
        <f>SUM(H88/F88)</f>
        <v>1.9447859254835685E-2</v>
      </c>
      <c r="J88" s="270">
        <f>SUM(D77*C88)/(I56*0.001)</f>
        <v>14.918800383907223</v>
      </c>
      <c r="K88" s="209">
        <f>SUM(J88)*(I56*0.001)</f>
        <v>141114.87403692547</v>
      </c>
      <c r="L88" s="191">
        <f>SUM('FY23 Final'!J88)</f>
        <v>18.045401568074816</v>
      </c>
      <c r="M88" s="209">
        <f>SUM('FY23 Final'!K88)</f>
        <v>173499.02918998705</v>
      </c>
      <c r="N88" s="177">
        <f>SUM(J88-L88)</f>
        <v>-3.1266011841675923</v>
      </c>
      <c r="O88" s="199">
        <f t="shared" ref="O88:O96" si="1">SUM(N88/L88)</f>
        <v>-0.1732630427964012</v>
      </c>
      <c r="P88" s="150"/>
    </row>
    <row r="89" spans="1:16">
      <c r="A89" s="158"/>
      <c r="B89" s="170" t="s">
        <v>160</v>
      </c>
      <c r="C89" s="158"/>
      <c r="D89" s="158"/>
      <c r="E89" s="267">
        <f>SUM(E87:E88)</f>
        <v>171023.03911053442</v>
      </c>
      <c r="F89" s="158"/>
      <c r="G89" s="267">
        <f>SUM(G87:G88)</f>
        <v>171704.55234161209</v>
      </c>
      <c r="H89" s="158"/>
      <c r="I89" s="170"/>
      <c r="J89" s="239"/>
      <c r="K89" s="267">
        <f>SUM(K87:K88)</f>
        <v>201592.6771956078</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0.35</v>
      </c>
      <c r="D91" s="269">
        <f>SUM(C78*C91)/F57</f>
        <v>541.02634678444781</v>
      </c>
      <c r="E91" s="209">
        <f>SUM(D91*F57)</f>
        <v>40576.976008833582</v>
      </c>
      <c r="F91" s="212">
        <f>SUM('FY23 Final'!D91)</f>
        <v>596.06767004559481</v>
      </c>
      <c r="G91" s="209">
        <f>SUM('FY23 Final'!E91)</f>
        <v>45301.142923465202</v>
      </c>
      <c r="H91" s="191">
        <f>SUM(D91-F91)</f>
        <v>-55.041323261146999</v>
      </c>
      <c r="I91" s="167">
        <f>SUM(H91/F91)</f>
        <v>-9.2340729127175683E-2</v>
      </c>
      <c r="J91" s="270">
        <f>SUM(D78*C91)/J57</f>
        <v>315.00004738264522</v>
      </c>
      <c r="K91" s="209">
        <f>SUM(J91*J57)</f>
        <v>22995.003458933101</v>
      </c>
      <c r="L91" s="212">
        <f>SUM('FY23 Final'!J91)</f>
        <v>456.69692459328468</v>
      </c>
      <c r="M91" s="209">
        <f>SUM('FY23 Final'!K91)</f>
        <v>33795.572419903066</v>
      </c>
      <c r="N91" s="177">
        <f>SUM(J91-L91)</f>
        <v>-141.69687721063946</v>
      </c>
      <c r="O91" s="199">
        <f t="shared" si="1"/>
        <v>-0.31026457499539506</v>
      </c>
      <c r="P91" s="150"/>
    </row>
    <row r="92" spans="1:16">
      <c r="A92" s="155"/>
      <c r="B92" s="150" t="s">
        <v>147</v>
      </c>
      <c r="C92" s="198">
        <v>0.65</v>
      </c>
      <c r="D92" s="269">
        <f>SUM(C78*C92)/(E57*0.001)</f>
        <v>11.676254865170018</v>
      </c>
      <c r="E92" s="209">
        <f>SUM(D92)*(E57*0.001)</f>
        <v>75357.241159262398</v>
      </c>
      <c r="F92" s="191">
        <f>SUM('FY23 Final'!D92)</f>
        <v>10.57246951490125</v>
      </c>
      <c r="G92" s="209">
        <f>SUM('FY23 Final'!E92)</f>
        <v>67951.714385197789</v>
      </c>
      <c r="H92" s="191">
        <f>SUM(D92-F92)</f>
        <v>1.1037853502687671</v>
      </c>
      <c r="I92" s="167">
        <f>SUM(H92/F92)</f>
        <v>0.10440184752607222</v>
      </c>
      <c r="J92" s="270">
        <f>SUM(D78*C92)/(I57*0.001)</f>
        <v>13.853171785056713</v>
      </c>
      <c r="K92" s="209">
        <f>SUM(J92)*(I57*0.001)</f>
        <v>42705.006423732906</v>
      </c>
      <c r="L92" s="191">
        <f>SUM('FY23 Final'!J92)</f>
        <v>15.467487058349844</v>
      </c>
      <c r="M92" s="209">
        <f>SUM('FY23 Final'!K92)</f>
        <v>50693.3586298546</v>
      </c>
      <c r="N92" s="177">
        <f>SUM(J92-L92)</f>
        <v>-1.6143152732931316</v>
      </c>
      <c r="O92" s="199">
        <f t="shared" si="1"/>
        <v>-0.10436829636276777</v>
      </c>
      <c r="P92" s="150"/>
    </row>
    <row r="93" spans="1:16">
      <c r="A93" s="158"/>
      <c r="B93" s="170" t="s">
        <v>160</v>
      </c>
      <c r="C93" s="158"/>
      <c r="D93" s="158"/>
      <c r="E93" s="267">
        <f>SUM(E91:E92)</f>
        <v>115934.21716809599</v>
      </c>
      <c r="F93" s="158"/>
      <c r="G93" s="267">
        <f>SUM(G91:G92)</f>
        <v>113252.85730866299</v>
      </c>
      <c r="H93" s="158"/>
      <c r="I93" s="170"/>
      <c r="J93" s="239"/>
      <c r="K93" s="267">
        <f>SUM(K91:K92)</f>
        <v>65700.009882666011</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5390.7839535615976</v>
      </c>
      <c r="E95" s="209">
        <f>SUM(D95*F58)</f>
        <v>16172.351860684794</v>
      </c>
      <c r="F95" s="212">
        <f>SUM('FY23 Final'!D95)</f>
        <v>5233.0250582874814</v>
      </c>
      <c r="G95" s="209">
        <f>SUM('FY23 Final'!E95)</f>
        <v>15699.075174862444</v>
      </c>
      <c r="H95" s="191">
        <f>SUM(D95-F95)</f>
        <v>157.75889527411618</v>
      </c>
      <c r="I95" s="167">
        <f>SUM(H95/F95)</f>
        <v>3.0146787664292806E-2</v>
      </c>
      <c r="J95" s="270">
        <f>SUM(D79*C95)/J58</f>
        <v>3068.2004869543603</v>
      </c>
      <c r="K95" s="209">
        <f>SUM(J95*J58)</f>
        <v>9204.6014608630812</v>
      </c>
      <c r="L95" s="212">
        <f>SUM('FY23 Final'!J95)</f>
        <v>3599.2154940910827</v>
      </c>
      <c r="M95" s="209">
        <f>SUM('FY23 Final'!K95)</f>
        <v>10797.646482273249</v>
      </c>
      <c r="N95" s="177">
        <f>SUM(J95-L95)</f>
        <v>-531.01500713672249</v>
      </c>
      <c r="O95" s="199">
        <f t="shared" si="1"/>
        <v>-0.14753631951421148</v>
      </c>
      <c r="P95" s="150"/>
    </row>
    <row r="96" spans="1:16">
      <c r="A96" s="155"/>
      <c r="B96" s="150" t="s">
        <v>147</v>
      </c>
      <c r="C96" s="198">
        <v>0.5</v>
      </c>
      <c r="D96" s="269">
        <f>SUM(C79*C96)/(E58*0.001)</f>
        <v>18.722940614751106</v>
      </c>
      <c r="E96" s="209">
        <f>SUM(D96)*(E58*0.001)</f>
        <v>16172.351860684794</v>
      </c>
      <c r="F96" s="191">
        <f>SUM('FY23 Final'!D96)</f>
        <v>18.740599513506492</v>
      </c>
      <c r="G96" s="209">
        <f>SUM('FY23 Final'!E96)</f>
        <v>15699.075174862444</v>
      </c>
      <c r="H96" s="191">
        <f>SUM(D96-F96)</f>
        <v>-1.7658898755385621E-2</v>
      </c>
      <c r="I96" s="167">
        <f>SUM(H96/F96)</f>
        <v>-9.4228035462039087E-4</v>
      </c>
      <c r="J96" s="270">
        <f>SUM(D79*C96)/(I58*0.001)</f>
        <v>10.656285988505163</v>
      </c>
      <c r="K96" s="209">
        <f>SUM(J96)*(I58*0.001)</f>
        <v>9204.6014608630812</v>
      </c>
      <c r="L96" s="191">
        <f>SUM('FY23 Final'!J96)</f>
        <v>12.889572548624869</v>
      </c>
      <c r="M96" s="209">
        <f>SUM('FY23 Final'!K96)</f>
        <v>10797.646482273249</v>
      </c>
      <c r="N96" s="177">
        <f>SUM(J96-L96)</f>
        <v>-2.2332865601197067</v>
      </c>
      <c r="O96" s="199">
        <f t="shared" si="1"/>
        <v>-0.17326304279640103</v>
      </c>
      <c r="P96" s="150"/>
    </row>
    <row r="97" spans="1:16">
      <c r="A97" s="158"/>
      <c r="B97" s="170" t="s">
        <v>160</v>
      </c>
      <c r="C97" s="158"/>
      <c r="D97" s="158"/>
      <c r="E97" s="267">
        <f>SUM(E95:E96)</f>
        <v>32344.703721369588</v>
      </c>
      <c r="F97" s="158"/>
      <c r="G97" s="267">
        <f>SUM(G95:G96)</f>
        <v>31398.150349724889</v>
      </c>
      <c r="H97" s="158"/>
      <c r="I97" s="170"/>
      <c r="J97" s="239"/>
      <c r="K97" s="267">
        <f>SUM(K95:K96)</f>
        <v>18409.202921726162</v>
      </c>
      <c r="L97" s="158"/>
      <c r="M97" s="267">
        <f>SUM(M95:M96)</f>
        <v>21595.292964546497</v>
      </c>
      <c r="N97" s="170"/>
      <c r="O97" s="268"/>
      <c r="P97" s="150"/>
    </row>
    <row r="98" spans="1:16">
      <c r="N98" s="151"/>
    </row>
    <row r="99" spans="1:16">
      <c r="D99" s="177"/>
      <c r="E99" s="172"/>
      <c r="J99" s="177"/>
    </row>
    <row r="100" spans="1:16" ht="23.25">
      <c r="A100" s="264" t="s">
        <v>168</v>
      </c>
      <c r="D100" s="177"/>
      <c r="J100" s="177"/>
    </row>
    <row r="101" spans="1:16" ht="23.25">
      <c r="A101" s="246"/>
    </row>
    <row r="102" spans="1:16">
      <c r="A102" s="164"/>
      <c r="B102" s="154"/>
      <c r="C102" s="154"/>
      <c r="D102" s="154"/>
      <c r="E102" s="154"/>
      <c r="F102" s="154"/>
      <c r="G102" s="153" t="s">
        <v>2</v>
      </c>
      <c r="H102" s="176" t="s">
        <v>26</v>
      </c>
    </row>
    <row r="103" spans="1:16">
      <c r="A103" s="155" t="s">
        <v>173</v>
      </c>
      <c r="G103" s="208">
        <f>SUM(E87+E91+E95+E32+E38+E41+E43)</f>
        <v>165537.2796026787</v>
      </c>
      <c r="H103" s="209">
        <f>SUM(K87+K91+K95+K27+K32+(0.5*K39)+K41+K43)</f>
        <v>383511.76807847852</v>
      </c>
    </row>
    <row r="104" spans="1:16">
      <c r="A104" s="155" t="s">
        <v>171</v>
      </c>
      <c r="G104" s="208">
        <f>SUM(E88+E92+E96+E37)</f>
        <v>212745.72039732127</v>
      </c>
      <c r="H104" s="209">
        <f>SUM(K88+K92+K96+K28+(0.5*K39))</f>
        <v>474362.23192152148</v>
      </c>
    </row>
    <row r="105" spans="1:16">
      <c r="A105" s="155" t="s">
        <v>242</v>
      </c>
      <c r="G105" s="208">
        <f>E44</f>
        <v>0</v>
      </c>
      <c r="H105" s="209">
        <f>K44</f>
        <v>0</v>
      </c>
    </row>
    <row r="106" spans="1:16">
      <c r="A106" s="234" t="s">
        <v>142</v>
      </c>
      <c r="B106" s="207"/>
      <c r="C106" s="207"/>
      <c r="D106" s="207"/>
      <c r="E106" s="207"/>
      <c r="F106" s="207"/>
      <c r="G106" s="235">
        <f>SUM(G103:G105)</f>
        <v>378283</v>
      </c>
      <c r="H106" s="236">
        <f>SUM(H103:H105)</f>
        <v>857874</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0.79270055884861002</v>
      </c>
      <c r="H109" s="175">
        <f>SUM(1-(H108-H103)/H108)</f>
        <v>1.8577486234600948</v>
      </c>
    </row>
    <row r="111" spans="1:16" ht="23.25">
      <c r="A111" s="264" t="s">
        <v>174</v>
      </c>
    </row>
    <row r="112" spans="1:16">
      <c r="D112" s="297" t="s">
        <v>245</v>
      </c>
      <c r="E112" s="298"/>
      <c r="F112" s="299" t="s">
        <v>230</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284.36134768972465</v>
      </c>
      <c r="E115" s="241">
        <f>SUM((I56/J56)/1000)*J88</f>
        <v>336.78967550578869</v>
      </c>
      <c r="F115" s="238">
        <f>SUM('FY23 Final'!D115)</f>
        <v>284.81797781783996</v>
      </c>
      <c r="G115" s="178">
        <f>SUM('FY23 Final'!E115)</f>
        <v>414.07882861572079</v>
      </c>
      <c r="O115" s="150"/>
      <c r="P115" s="150"/>
      <c r="Q115" s="150"/>
      <c r="R115" s="150"/>
      <c r="S115" s="150"/>
      <c r="T115" s="150"/>
      <c r="U115" s="150"/>
      <c r="V115" s="150"/>
      <c r="W115" s="150"/>
    </row>
    <row r="116" spans="1:23">
      <c r="A116" s="155" t="s">
        <v>175</v>
      </c>
      <c r="D116" s="191">
        <f>SUM(D87)</f>
        <v>121.86914900988202</v>
      </c>
      <c r="E116" s="241">
        <f>SUM(J87)</f>
        <v>144.33843235962374</v>
      </c>
      <c r="F116" s="238">
        <f>SUM('FY23 Final'!D116)</f>
        <v>122.06484763621711</v>
      </c>
      <c r="G116" s="178">
        <f>SUM('FY23 Final'!E116)</f>
        <v>177.46235512102325</v>
      </c>
      <c r="O116" s="150"/>
      <c r="P116" s="150"/>
      <c r="Q116" s="150"/>
      <c r="R116" s="150"/>
      <c r="S116" s="150"/>
      <c r="T116" s="150"/>
      <c r="U116" s="150"/>
      <c r="V116" s="150"/>
      <c r="W116" s="150"/>
    </row>
    <row r="117" spans="1:23">
      <c r="A117" s="155" t="s">
        <v>142</v>
      </c>
      <c r="D117" s="191">
        <f>SUM(D115:D116)</f>
        <v>406.23049669960665</v>
      </c>
      <c r="E117" s="241">
        <f>SUM(E115:E116)</f>
        <v>481.1281078654124</v>
      </c>
      <c r="F117" s="238">
        <f>SUM('FY23 Final'!D117)</f>
        <v>406.88282545405707</v>
      </c>
      <c r="G117" s="178">
        <f>SUM('FY23 Final'!E117)</f>
        <v>591.54118373674407</v>
      </c>
      <c r="O117" s="150"/>
      <c r="P117" s="150"/>
      <c r="Q117" s="150"/>
      <c r="R117" s="150"/>
      <c r="S117" s="150"/>
      <c r="T117" s="150"/>
      <c r="U117" s="150"/>
      <c r="V117" s="150"/>
      <c r="W117" s="150"/>
    </row>
    <row r="118" spans="1:23">
      <c r="A118" s="234" t="s">
        <v>176</v>
      </c>
      <c r="B118" s="207"/>
      <c r="C118" s="207"/>
      <c r="D118" s="244">
        <f>SUM(D117:E117)</f>
        <v>887.35860456501905</v>
      </c>
      <c r="E118" s="242"/>
      <c r="F118" s="238">
        <f>SUM('FY23 Final'!D118)</f>
        <v>998.42400919080114</v>
      </c>
      <c r="G118" s="178"/>
      <c r="O118" s="150"/>
      <c r="P118" s="150"/>
      <c r="Q118" s="150"/>
      <c r="R118" s="150"/>
      <c r="S118" s="150"/>
      <c r="T118" s="150"/>
      <c r="U118" s="150"/>
      <c r="V118" s="150"/>
      <c r="W118" s="150"/>
    </row>
    <row r="119" spans="1:23">
      <c r="A119" s="234" t="s">
        <v>177</v>
      </c>
      <c r="B119" s="207"/>
      <c r="C119" s="207"/>
      <c r="D119" s="244">
        <f>SUM(D118-F118)</f>
        <v>-111.06540462578209</v>
      </c>
      <c r="E119" s="242"/>
      <c r="F119" s="228"/>
      <c r="G119" s="165"/>
      <c r="O119" s="150"/>
      <c r="P119" s="150"/>
      <c r="Q119" s="150"/>
      <c r="R119" s="150"/>
      <c r="S119" s="150"/>
      <c r="T119" s="150"/>
      <c r="U119" s="150"/>
      <c r="V119" s="150"/>
      <c r="W119" s="150"/>
    </row>
    <row r="120" spans="1:23">
      <c r="A120" s="204" t="s">
        <v>178</v>
      </c>
      <c r="B120" s="203"/>
      <c r="C120" s="203"/>
      <c r="D120" s="245">
        <f>SUM(D119/F118)</f>
        <v>-0.11124071897649773</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1004.7632154568319</v>
      </c>
      <c r="E123" s="241">
        <f>SUM((I57/J57)/1000)*J92</f>
        <v>585.00008799634122</v>
      </c>
      <c r="F123" s="238">
        <f>SUM('FY23 Final'!D123)</f>
        <v>894.10150506839204</v>
      </c>
      <c r="G123" s="178">
        <f>SUM('FY23 Final'!E123)</f>
        <v>685.04538688992704</v>
      </c>
      <c r="O123" s="150"/>
      <c r="P123" s="150"/>
      <c r="Q123" s="150"/>
      <c r="R123" s="150"/>
      <c r="S123" s="150"/>
      <c r="T123" s="150"/>
      <c r="U123" s="150"/>
      <c r="V123" s="150"/>
      <c r="W123" s="150"/>
    </row>
    <row r="124" spans="1:23">
      <c r="A124" s="155" t="s">
        <v>175</v>
      </c>
      <c r="D124" s="191">
        <f>SUM(D91)</f>
        <v>541.02634678444781</v>
      </c>
      <c r="E124" s="241">
        <f>SUM(J91)</f>
        <v>315.00004738264522</v>
      </c>
      <c r="F124" s="238">
        <f>SUM('FY23 Final'!D124)</f>
        <v>596.06767004559481</v>
      </c>
      <c r="G124" s="178">
        <f>SUM('FY23 Final'!E124)</f>
        <v>456.69692459328468</v>
      </c>
      <c r="O124" s="150"/>
      <c r="P124" s="150"/>
      <c r="Q124" s="150"/>
      <c r="R124" s="150"/>
      <c r="S124" s="150"/>
      <c r="T124" s="150"/>
      <c r="U124" s="150"/>
      <c r="V124" s="150"/>
      <c r="W124" s="150"/>
    </row>
    <row r="125" spans="1:23">
      <c r="A125" s="155" t="s">
        <v>142</v>
      </c>
      <c r="D125" s="191">
        <f>SUM(D123:D124)</f>
        <v>1545.7895622412798</v>
      </c>
      <c r="E125" s="241">
        <f>SUM(E123:E124)</f>
        <v>900.00013537898644</v>
      </c>
      <c r="F125" s="238">
        <f>SUM('FY23 Final'!D125)</f>
        <v>1490.169175113987</v>
      </c>
      <c r="G125" s="178">
        <f>SUM('FY23 Final'!E125)</f>
        <v>1141.7423114832118</v>
      </c>
      <c r="O125" s="150"/>
      <c r="P125" s="150"/>
      <c r="Q125" s="150"/>
      <c r="R125" s="150"/>
      <c r="S125" s="150"/>
      <c r="T125" s="150"/>
      <c r="U125" s="150"/>
      <c r="V125" s="150"/>
      <c r="W125" s="150"/>
    </row>
    <row r="126" spans="1:23">
      <c r="A126" s="234" t="s">
        <v>176</v>
      </c>
      <c r="B126" s="207"/>
      <c r="C126" s="207"/>
      <c r="D126" s="244">
        <f>SUM(D125:E125)</f>
        <v>2445.7896976202665</v>
      </c>
      <c r="E126" s="242"/>
      <c r="F126" s="238">
        <f>SUM('FY23 Final'!D126)</f>
        <v>2631.9114865971987</v>
      </c>
      <c r="G126" s="178"/>
      <c r="O126" s="150"/>
      <c r="P126" s="150"/>
      <c r="Q126" s="150"/>
      <c r="R126" s="150"/>
      <c r="S126" s="150"/>
      <c r="T126" s="150"/>
      <c r="U126" s="150"/>
      <c r="V126" s="150"/>
      <c r="W126" s="150"/>
    </row>
    <row r="127" spans="1:23">
      <c r="A127" s="234" t="s">
        <v>177</v>
      </c>
      <c r="B127" s="207"/>
      <c r="C127" s="207"/>
      <c r="D127" s="244">
        <f>SUM(D126-F126)</f>
        <v>-186.12178897693229</v>
      </c>
      <c r="E127" s="242"/>
      <c r="F127" s="228"/>
      <c r="G127" s="165"/>
      <c r="O127" s="150"/>
      <c r="P127" s="150"/>
      <c r="Q127" s="150"/>
      <c r="R127" s="150"/>
      <c r="S127" s="150"/>
      <c r="T127" s="150"/>
      <c r="U127" s="150"/>
      <c r="V127" s="150"/>
      <c r="W127" s="150"/>
    </row>
    <row r="128" spans="1:23">
      <c r="A128" s="204" t="s">
        <v>178</v>
      </c>
      <c r="B128" s="203"/>
      <c r="C128" s="203"/>
      <c r="D128" s="245">
        <f>SUM(D127/F126)</f>
        <v>-7.0717343620688919E-2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5390.7839535615967</v>
      </c>
      <c r="E131" s="241">
        <f>SUM((I58/J58)/1000)*J96</f>
        <v>3068.2004869543603</v>
      </c>
      <c r="F131" s="238">
        <f>SUM('FY23 Final'!D131)</f>
        <v>5233.0250582874805</v>
      </c>
      <c r="G131" s="178">
        <f>SUM('FY23 Final'!E131)</f>
        <v>3599.2154940910827</v>
      </c>
      <c r="O131" s="150"/>
      <c r="P131" s="150"/>
      <c r="Q131" s="150"/>
      <c r="R131" s="150"/>
      <c r="S131" s="150"/>
      <c r="T131" s="150"/>
      <c r="U131" s="150"/>
      <c r="V131" s="150"/>
      <c r="W131" s="150"/>
    </row>
    <row r="132" spans="1:23">
      <c r="A132" s="155" t="s">
        <v>175</v>
      </c>
      <c r="D132" s="191">
        <f>SUM(D95)</f>
        <v>5390.7839535615976</v>
      </c>
      <c r="E132" s="241">
        <f>SUM(J95)</f>
        <v>3068.2004869543603</v>
      </c>
      <c r="F132" s="238">
        <f>SUM('FY23 Final'!D132)</f>
        <v>5233.0250582874814</v>
      </c>
      <c r="G132" s="178">
        <f>SUM('FY23 Final'!E132)</f>
        <v>3599.2154940910827</v>
      </c>
      <c r="O132" s="150"/>
      <c r="P132" s="150"/>
      <c r="Q132" s="150"/>
      <c r="R132" s="150"/>
      <c r="S132" s="150"/>
      <c r="T132" s="150"/>
      <c r="U132" s="150"/>
      <c r="V132" s="150"/>
      <c r="W132" s="150"/>
    </row>
    <row r="133" spans="1:23">
      <c r="A133" s="155" t="s">
        <v>142</v>
      </c>
      <c r="D133" s="191">
        <f>SUM(D131:D132)</f>
        <v>10781.567907123193</v>
      </c>
      <c r="E133" s="241">
        <f>SUM(E131:E132)</f>
        <v>6136.4009739087205</v>
      </c>
      <c r="F133" s="238">
        <f>SUM('FY23 Final'!D133)</f>
        <v>10466.050116574963</v>
      </c>
      <c r="G133" s="178">
        <f>SUM('FY23 Final'!E133)</f>
        <v>7198.4309881821655</v>
      </c>
      <c r="O133" s="150"/>
      <c r="P133" s="150"/>
      <c r="Q133" s="150"/>
      <c r="R133" s="150"/>
      <c r="S133" s="150"/>
      <c r="T133" s="150"/>
      <c r="U133" s="150"/>
      <c r="V133" s="150"/>
      <c r="W133" s="150"/>
    </row>
    <row r="134" spans="1:23">
      <c r="A134" s="234" t="s">
        <v>176</v>
      </c>
      <c r="B134" s="207"/>
      <c r="C134" s="207"/>
      <c r="D134" s="244">
        <f>SUM(D133:E133)</f>
        <v>16917.968881031913</v>
      </c>
      <c r="E134" s="242"/>
      <c r="F134" s="238">
        <f>SUM('FY23 Final'!D134)</f>
        <v>17664.481104757127</v>
      </c>
      <c r="G134" s="178"/>
      <c r="O134" s="150"/>
      <c r="P134" s="150"/>
      <c r="Q134" s="150"/>
      <c r="R134" s="150"/>
      <c r="S134" s="150"/>
      <c r="T134" s="150"/>
      <c r="U134" s="150"/>
      <c r="V134" s="150"/>
      <c r="W134" s="150"/>
    </row>
    <row r="135" spans="1:23">
      <c r="A135" s="234" t="s">
        <v>177</v>
      </c>
      <c r="B135" s="207"/>
      <c r="C135" s="207"/>
      <c r="D135" s="244">
        <f>SUM(D134-F134)</f>
        <v>-746.51222372521443</v>
      </c>
      <c r="E135" s="242"/>
      <c r="F135" s="228"/>
      <c r="G135" s="165"/>
      <c r="O135" s="150"/>
      <c r="P135" s="150"/>
      <c r="Q135" s="150"/>
      <c r="R135" s="150"/>
      <c r="S135" s="150"/>
      <c r="T135" s="150"/>
      <c r="U135" s="150"/>
      <c r="V135" s="150"/>
      <c r="W135" s="150"/>
    </row>
    <row r="136" spans="1:23">
      <c r="A136" s="204" t="s">
        <v>178</v>
      </c>
      <c r="B136" s="203"/>
      <c r="C136" s="203"/>
      <c r="D136" s="245">
        <f>SUM(D135/F134)</f>
        <v>-4.2260636997945848E-2</v>
      </c>
      <c r="E136" s="243"/>
      <c r="F136" s="239"/>
      <c r="G136" s="190"/>
      <c r="O136" s="150"/>
      <c r="P136" s="150"/>
      <c r="Q136" s="150"/>
      <c r="R136" s="150"/>
      <c r="S136" s="150"/>
      <c r="T136" s="150"/>
      <c r="U136" s="150"/>
      <c r="V136" s="150"/>
      <c r="W136" s="150"/>
    </row>
    <row r="140" spans="1:23" ht="18.75">
      <c r="A140" s="259" t="s">
        <v>253</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251</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252</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5" zoomScaleNormal="100" zoomScaleSheetLayoutView="100" workbookViewId="0">
      <selection activeCell="C92" sqref="C92"/>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219</v>
      </c>
      <c r="B9" s="317"/>
      <c r="D9" s="162">
        <v>379492</v>
      </c>
      <c r="E9" s="162">
        <v>789537</v>
      </c>
      <c r="F9" s="163">
        <f>D9+E9</f>
        <v>1169029</v>
      </c>
      <c r="O9" s="151"/>
      <c r="P9" s="151"/>
    </row>
    <row r="10" spans="1:16" s="150" customFormat="1">
      <c r="A10" s="318" t="s">
        <v>230</v>
      </c>
      <c r="B10" s="319"/>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230</v>
      </c>
      <c r="E24" s="302"/>
      <c r="F24" s="301" t="s">
        <v>219</v>
      </c>
      <c r="G24" s="302"/>
      <c r="H24" s="301" t="s">
        <v>233</v>
      </c>
      <c r="I24" s="303"/>
      <c r="J24" s="304" t="s">
        <v>230</v>
      </c>
      <c r="K24" s="302"/>
      <c r="L24" s="301" t="s">
        <v>219</v>
      </c>
      <c r="M24" s="302"/>
      <c r="N24" s="301" t="s">
        <v>233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230</v>
      </c>
      <c r="E35" s="302"/>
      <c r="F35" s="301" t="s">
        <v>219</v>
      </c>
      <c r="G35" s="302"/>
      <c r="H35" s="188"/>
      <c r="I35" s="152"/>
      <c r="J35" s="304" t="s">
        <v>230</v>
      </c>
      <c r="K35" s="302"/>
      <c r="L35" s="301" t="s">
        <v>219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4" t="s">
        <v>132</v>
      </c>
      <c r="B57" s="315"/>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4" t="s">
        <v>43</v>
      </c>
      <c r="B67" s="315"/>
      <c r="C67" s="315"/>
      <c r="D67" s="166">
        <f>SUM(-(K68)*5/100)</f>
        <v>-3.0128108013113802E-2</v>
      </c>
      <c r="E67" s="166">
        <f>SUM(D56+D67)</f>
        <v>0.54275813057185429</v>
      </c>
      <c r="F67" s="173">
        <f>SUM('FY22 Final'!E67)</f>
        <v>0.52579619653140874</v>
      </c>
      <c r="J67" s="258" t="s">
        <v>186</v>
      </c>
      <c r="K67" s="307" t="s">
        <v>187</v>
      </c>
      <c r="L67" s="308"/>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297" t="s">
        <v>230</v>
      </c>
      <c r="D73" s="300"/>
      <c r="E73" s="297" t="s">
        <v>219</v>
      </c>
      <c r="F73" s="300"/>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230</v>
      </c>
      <c r="E84" s="302"/>
      <c r="F84" s="301" t="s">
        <v>219</v>
      </c>
      <c r="G84" s="302"/>
      <c r="H84" s="301" t="s">
        <v>233</v>
      </c>
      <c r="I84" s="303"/>
      <c r="J84" s="304" t="s">
        <v>230</v>
      </c>
      <c r="K84" s="302"/>
      <c r="L84" s="301" t="s">
        <v>219</v>
      </c>
      <c r="M84" s="302"/>
      <c r="N84" s="305" t="s">
        <v>233</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297" t="s">
        <v>230</v>
      </c>
      <c r="E112" s="298"/>
      <c r="F112" s="299" t="s">
        <v>219</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78"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199</v>
      </c>
      <c r="B9" s="317"/>
      <c r="D9" s="162">
        <v>358965</v>
      </c>
      <c r="E9" s="162">
        <v>606387</v>
      </c>
      <c r="F9" s="163">
        <f>D9+E9</f>
        <v>965352</v>
      </c>
      <c r="O9" s="151"/>
      <c r="P9" s="151"/>
    </row>
    <row r="10" spans="1:16" s="150" customFormat="1">
      <c r="A10" s="318" t="s">
        <v>219</v>
      </c>
      <c r="B10" s="319"/>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219</v>
      </c>
      <c r="E24" s="302"/>
      <c r="F24" s="301" t="s">
        <v>199</v>
      </c>
      <c r="G24" s="302"/>
      <c r="H24" s="301" t="s">
        <v>222</v>
      </c>
      <c r="I24" s="303"/>
      <c r="J24" s="304" t="s">
        <v>219</v>
      </c>
      <c r="K24" s="302"/>
      <c r="L24" s="301" t="s">
        <v>199</v>
      </c>
      <c r="M24" s="302"/>
      <c r="N24" s="301" t="s">
        <v>222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219</v>
      </c>
      <c r="E35" s="302"/>
      <c r="F35" s="301" t="s">
        <v>199</v>
      </c>
      <c r="G35" s="302"/>
      <c r="H35" s="188"/>
      <c r="I35" s="152"/>
      <c r="J35" s="304" t="s">
        <v>219</v>
      </c>
      <c r="K35" s="302"/>
      <c r="L35" s="301" t="s">
        <v>199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4" t="s">
        <v>132</v>
      </c>
      <c r="B57" s="315"/>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4" t="s">
        <v>43</v>
      </c>
      <c r="B67" s="315"/>
      <c r="C67" s="315"/>
      <c r="D67" s="166">
        <f>SUM(-(K68)*5/100)</f>
        <v>-2.9287543894563176E-2</v>
      </c>
      <c r="E67" s="166">
        <f>SUM(D56+D67)</f>
        <v>0.52579619653140874</v>
      </c>
      <c r="F67" s="173">
        <f>SUM('FY21 Final'!E67)</f>
        <v>0.50933526181149502</v>
      </c>
      <c r="J67" s="258" t="s">
        <v>186</v>
      </c>
      <c r="K67" s="307" t="s">
        <v>187</v>
      </c>
      <c r="L67" s="308"/>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297" t="s">
        <v>219</v>
      </c>
      <c r="D73" s="300"/>
      <c r="E73" s="297" t="s">
        <v>199</v>
      </c>
      <c r="F73" s="300"/>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219</v>
      </c>
      <c r="E84" s="302"/>
      <c r="F84" s="301" t="s">
        <v>199</v>
      </c>
      <c r="G84" s="302"/>
      <c r="H84" s="301" t="s">
        <v>222</v>
      </c>
      <c r="I84" s="303"/>
      <c r="J84" s="304" t="s">
        <v>219</v>
      </c>
      <c r="K84" s="302"/>
      <c r="L84" s="301" t="s">
        <v>199</v>
      </c>
      <c r="M84" s="302"/>
      <c r="N84" s="305" t="s">
        <v>222</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297" t="s">
        <v>219</v>
      </c>
      <c r="E112" s="298"/>
      <c r="F112" s="299" t="s">
        <v>199</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A80" zoomScaleNormal="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135</v>
      </c>
      <c r="B9" s="317"/>
      <c r="D9" s="162">
        <v>357985</v>
      </c>
      <c r="E9" s="162">
        <v>600152</v>
      </c>
      <c r="F9" s="163">
        <f>D9+E9</f>
        <v>958137</v>
      </c>
      <c r="O9" s="151"/>
      <c r="P9" s="151"/>
    </row>
    <row r="10" spans="1:16" s="150" customFormat="1">
      <c r="A10" s="318" t="s">
        <v>199</v>
      </c>
      <c r="B10" s="319"/>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199</v>
      </c>
      <c r="E24" s="302"/>
      <c r="F24" s="301" t="s">
        <v>135</v>
      </c>
      <c r="G24" s="302"/>
      <c r="H24" s="301" t="s">
        <v>204</v>
      </c>
      <c r="I24" s="303"/>
      <c r="J24" s="304" t="s">
        <v>199</v>
      </c>
      <c r="K24" s="302"/>
      <c r="L24" s="301" t="s">
        <v>135</v>
      </c>
      <c r="M24" s="302"/>
      <c r="N24" s="301" t="s">
        <v>204</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199</v>
      </c>
      <c r="E35" s="302"/>
      <c r="F35" s="301" t="s">
        <v>135</v>
      </c>
      <c r="G35" s="302"/>
      <c r="H35" s="188"/>
      <c r="I35" s="152"/>
      <c r="J35" s="304" t="s">
        <v>199</v>
      </c>
      <c r="K35" s="302"/>
      <c r="L35" s="301" t="s">
        <v>203</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4" t="s">
        <v>132</v>
      </c>
      <c r="B57" s="315"/>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4" t="s">
        <v>43</v>
      </c>
      <c r="B67" s="315"/>
      <c r="C67" s="315"/>
      <c r="D67" s="166">
        <f>SUM(-(K68)*5/100)</f>
        <v>-2.8422069988389972E-2</v>
      </c>
      <c r="E67" s="166">
        <f>SUM(D56+D67)</f>
        <v>0.50933526181149502</v>
      </c>
      <c r="F67" s="173">
        <f>SUM('FY20 Final'!E67)</f>
        <v>0.53504885352558651</v>
      </c>
      <c r="J67" s="258" t="s">
        <v>186</v>
      </c>
      <c r="K67" s="307" t="s">
        <v>187</v>
      </c>
      <c r="L67" s="308"/>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297" t="s">
        <v>199</v>
      </c>
      <c r="D73" s="300"/>
      <c r="E73" s="297" t="s">
        <v>135</v>
      </c>
      <c r="F73" s="300"/>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199</v>
      </c>
      <c r="E84" s="302"/>
      <c r="F84" s="301" t="s">
        <v>135</v>
      </c>
      <c r="G84" s="302"/>
      <c r="H84" s="301" t="s">
        <v>204</v>
      </c>
      <c r="I84" s="303"/>
      <c r="J84" s="304" t="s">
        <v>199</v>
      </c>
      <c r="K84" s="302"/>
      <c r="L84" s="301" t="s">
        <v>135</v>
      </c>
      <c r="M84" s="302"/>
      <c r="N84" s="305" t="s">
        <v>204</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297" t="s">
        <v>199</v>
      </c>
      <c r="E112" s="298"/>
      <c r="F112" s="299" t="s">
        <v>135</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79" zoomScaleNormal="100" zoomScaleSheetLayoutView="100" workbookViewId="0">
      <selection activeCell="J95" sqref="J95:J9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134</v>
      </c>
      <c r="B9" s="317"/>
      <c r="D9" s="162">
        <v>345137</v>
      </c>
      <c r="E9" s="162">
        <v>562000</v>
      </c>
      <c r="F9" s="163">
        <f>D9+E9</f>
        <v>907137</v>
      </c>
      <c r="O9" s="151"/>
      <c r="P9" s="151"/>
    </row>
    <row r="10" spans="1:16" s="150" customFormat="1">
      <c r="A10" s="318" t="s">
        <v>135</v>
      </c>
      <c r="B10" s="319"/>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135</v>
      </c>
      <c r="E24" s="302"/>
      <c r="F24" s="301" t="s">
        <v>152</v>
      </c>
      <c r="G24" s="302"/>
      <c r="H24" s="301" t="s">
        <v>153</v>
      </c>
      <c r="I24" s="303"/>
      <c r="J24" s="304" t="s">
        <v>135</v>
      </c>
      <c r="K24" s="302"/>
      <c r="L24" s="301" t="s">
        <v>152</v>
      </c>
      <c r="M24" s="302"/>
      <c r="N24" s="301" t="s">
        <v>153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135</v>
      </c>
      <c r="E35" s="302"/>
      <c r="F35" s="301" t="s">
        <v>152</v>
      </c>
      <c r="G35" s="302"/>
      <c r="H35" s="188"/>
      <c r="I35" s="152"/>
      <c r="J35" s="304" t="s">
        <v>135</v>
      </c>
      <c r="K35" s="302"/>
      <c r="L35" s="301" t="s">
        <v>152</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4" t="s">
        <v>132</v>
      </c>
      <c r="B57" s="315"/>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4" t="s">
        <v>43</v>
      </c>
      <c r="B67" s="315"/>
      <c r="C67" s="315"/>
      <c r="D67" s="166">
        <f>SUM(-(K68)*5/100)</f>
        <v>-3.0102956517231768E-2</v>
      </c>
      <c r="E67" s="166">
        <f>SUM(D56+D67)</f>
        <v>0.53504885352558651</v>
      </c>
      <c r="F67" s="173">
        <f>SUM('FY19 Final'!C11)</f>
        <v>0.57700966350845162</v>
      </c>
      <c r="J67" s="258" t="s">
        <v>186</v>
      </c>
      <c r="K67" s="307" t="s">
        <v>187</v>
      </c>
      <c r="L67" s="308"/>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297" t="s">
        <v>135</v>
      </c>
      <c r="D73" s="300"/>
      <c r="E73" s="297" t="s">
        <v>134</v>
      </c>
      <c r="F73" s="300"/>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135</v>
      </c>
      <c r="E84" s="302"/>
      <c r="F84" s="301" t="s">
        <v>152</v>
      </c>
      <c r="G84" s="302"/>
      <c r="H84" s="301" t="s">
        <v>153</v>
      </c>
      <c r="I84" s="303"/>
      <c r="J84" s="304" t="s">
        <v>135</v>
      </c>
      <c r="K84" s="302"/>
      <c r="L84" s="301" t="s">
        <v>152</v>
      </c>
      <c r="M84" s="302"/>
      <c r="N84" s="305" t="s">
        <v>153</v>
      </c>
      <c r="O84" s="306"/>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297" t="s">
        <v>135</v>
      </c>
      <c r="E112" s="298"/>
      <c r="F112" s="299" t="s">
        <v>134</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 ref="F84:G84"/>
    <mergeCell ref="H84:I84"/>
    <mergeCell ref="J84:K84"/>
    <mergeCell ref="L84:M84"/>
    <mergeCell ref="K67:L67"/>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s>
  <pageMargins left="0.7" right="0.7" top="0.75" bottom="0.75" header="0.3" footer="0.3"/>
  <pageSetup scale="59" orientation="landscape" r:id="rId1"/>
  <rowBreaks count="2" manualBreakCount="2">
    <brk id="49" max="16383" man="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topLeftCell="A7" zoomScaleNormal="100" zoomScaleSheetLayoutView="100" workbookViewId="0">
      <selection activeCell="I10" sqref="I10"/>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FY25 DRAFT</vt:lpstr>
      <vt:lpstr>FY24 Final</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2024-05-16T19:37:12Z</cp:lastPrinted>
  <dcterms:created xsi:type="dcterms:W3CDTF">2016-04-29T13:54:33Z</dcterms:created>
  <dcterms:modified xsi:type="dcterms:W3CDTF">2024-05-16T19:37:14Z</dcterms:modified>
</cp:coreProperties>
</file>