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4 Agenda and Packets/uu November 12/Packet/Cash Flow and Audit/"/>
    </mc:Choice>
  </mc:AlternateContent>
  <xr:revisionPtr revIDLastSave="7" documentId="8_{AD078FDF-F8B0-49F2-AECB-77448112398A}" xr6:coauthVersionLast="47" xr6:coauthVersionMax="47" xr10:uidLastSave="{F97CF2B3-91F3-4EA2-9640-15A76F49526B}"/>
  <bookViews>
    <workbookView xWindow="19092" yWindow="-108" windowWidth="23256" windowHeight="12576" xr2:uid="{DE892D54-B980-479C-8BB8-9561D6D9041D}"/>
  </bookViews>
  <sheets>
    <sheet name="FY25 Cash Balance" sheetId="2" r:id="rId1"/>
    <sheet name="FY25 Budget Actual Rev &amp; Exp" sheetId="3" r:id="rId2"/>
    <sheet name="General Checking Reserves" sheetId="1" r:id="rId3"/>
    <sheet name="Flood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6" l="1"/>
  <c r="H13" i="6"/>
  <c r="F13" i="6"/>
  <c r="D13" i="6"/>
  <c r="B13" i="6"/>
  <c r="L11" i="6"/>
  <c r="L9" i="6"/>
  <c r="L7" i="6"/>
  <c r="L5" i="6"/>
  <c r="C29" i="1"/>
  <c r="H11" i="1"/>
  <c r="I42" i="3"/>
  <c r="H42" i="3" s="1"/>
  <c r="E42" i="3"/>
  <c r="I40" i="3"/>
  <c r="H40" i="3" s="1"/>
  <c r="K40" i="3" s="1"/>
  <c r="E40" i="3"/>
  <c r="I38" i="3"/>
  <c r="H38" i="3"/>
  <c r="E38" i="3"/>
  <c r="E36" i="3"/>
  <c r="I36" i="3" s="1"/>
  <c r="H36" i="3" s="1"/>
  <c r="E30" i="3"/>
  <c r="I30" i="3" s="1"/>
  <c r="H30" i="3" s="1"/>
  <c r="E29" i="3"/>
  <c r="I29" i="3" s="1"/>
  <c r="H29" i="3" s="1"/>
  <c r="K29" i="3" s="1"/>
  <c r="I28" i="3"/>
  <c r="H28" i="3" s="1"/>
  <c r="E28" i="3"/>
  <c r="E27" i="3"/>
  <c r="I27" i="3" s="1"/>
  <c r="H27" i="3" s="1"/>
  <c r="E26" i="3"/>
  <c r="I26" i="3" s="1"/>
  <c r="H26" i="3" s="1"/>
  <c r="K26" i="3" s="1"/>
  <c r="K25" i="3"/>
  <c r="I25" i="3"/>
  <c r="H25" i="3" s="1"/>
  <c r="E25" i="3"/>
  <c r="I24" i="3"/>
  <c r="H24" i="3" s="1"/>
  <c r="E24" i="3"/>
  <c r="E23" i="3"/>
  <c r="I23" i="3" s="1"/>
  <c r="H23" i="3" s="1"/>
  <c r="K23" i="3" s="1"/>
  <c r="E22" i="3"/>
  <c r="I22" i="3" s="1"/>
  <c r="H22" i="3" s="1"/>
  <c r="K22" i="3" s="1"/>
  <c r="E21" i="3"/>
  <c r="I21" i="3" s="1"/>
  <c r="H21" i="3" s="1"/>
  <c r="K21" i="3" s="1"/>
  <c r="I20" i="3"/>
  <c r="H20" i="3" s="1"/>
  <c r="E20" i="3"/>
  <c r="E19" i="3"/>
  <c r="I19" i="3" s="1"/>
  <c r="H19" i="3" s="1"/>
  <c r="K19" i="3" s="1"/>
  <c r="E15" i="3"/>
  <c r="I15" i="3" s="1"/>
  <c r="H15" i="3" s="1"/>
  <c r="I14" i="3"/>
  <c r="H14" i="3" s="1"/>
  <c r="K14" i="3" s="1"/>
  <c r="E14" i="3"/>
  <c r="E13" i="3"/>
  <c r="I13" i="3" s="1"/>
  <c r="H13" i="3" s="1"/>
  <c r="K13" i="3" s="1"/>
  <c r="E12" i="3"/>
  <c r="I12" i="3" s="1"/>
  <c r="H12" i="3" s="1"/>
  <c r="K12" i="3" s="1"/>
  <c r="E11" i="3"/>
  <c r="I11" i="3" s="1"/>
  <c r="H11" i="3" s="1"/>
  <c r="E10" i="3"/>
  <c r="I10" i="3" s="1"/>
  <c r="H10" i="3" s="1"/>
  <c r="K10" i="3" s="1"/>
  <c r="I9" i="3"/>
  <c r="H9" i="3"/>
  <c r="E9" i="3"/>
  <c r="E8" i="3"/>
  <c r="I8" i="3" s="1"/>
  <c r="H8" i="3" s="1"/>
  <c r="K8" i="3" s="1"/>
  <c r="I7" i="3"/>
  <c r="H7" i="3"/>
  <c r="E7" i="3"/>
  <c r="I6" i="3"/>
  <c r="H6" i="3" s="1"/>
  <c r="E6" i="3"/>
  <c r="I5" i="3"/>
  <c r="H5" i="3" s="1"/>
  <c r="E5" i="3"/>
  <c r="I4" i="3"/>
  <c r="H4" i="3" s="1"/>
  <c r="K4" i="3" s="1"/>
  <c r="E4" i="3"/>
  <c r="E9" i="2"/>
  <c r="D9" i="2"/>
  <c r="K27" i="3" l="1"/>
  <c r="K28" i="3"/>
  <c r="M30" i="3" s="1"/>
  <c r="K24" i="3"/>
  <c r="K42" i="3"/>
  <c r="K5" i="3"/>
  <c r="M6" i="3" s="1"/>
  <c r="K9" i="3"/>
  <c r="K11" i="3"/>
  <c r="M12" i="3" s="1"/>
  <c r="K20" i="3"/>
  <c r="M21" i="3" s="1"/>
  <c r="K15" i="3"/>
  <c r="M15" i="3" s="1"/>
  <c r="K6" i="3"/>
  <c r="K7" i="3"/>
  <c r="M9" i="3" s="1"/>
  <c r="K38" i="3"/>
  <c r="K43" i="3" s="1"/>
  <c r="L13" i="6"/>
  <c r="K30" i="3"/>
  <c r="M24" i="3"/>
  <c r="D30" i="2" s="1"/>
  <c r="D31" i="2" s="1"/>
  <c r="E32" i="2" s="1"/>
  <c r="D61" i="2"/>
  <c r="D62" i="2" s="1"/>
  <c r="M27" i="3"/>
  <c r="D47" i="2" s="1"/>
  <c r="D48" i="2" s="1"/>
  <c r="E49" i="2" l="1"/>
  <c r="E63" i="2" s="1"/>
  <c r="E70" i="2" s="1"/>
  <c r="E6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D3" authorId="0" shapeId="0" xr:uid="{B27BE5CC-93A2-486E-9CAA-32541352205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 due to 1st qtr. taxes coming in
</t>
        </r>
      </text>
    </comment>
    <comment ref="D13" authorId="0" shapeId="0" xr:uid="{B48B918D-0766-4BCE-8FAE-7EAD3928FAC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Updated numbers due to state adjustments &amp;  current use.</t>
        </r>
      </text>
    </comment>
    <comment ref="D16" authorId="0" shapeId="0" xr:uid="{801F4B0C-25E0-4189-9E3D-DEE2C1B56CF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Projection</t>
        </r>
      </text>
    </comment>
    <comment ref="D18" authorId="0" shapeId="0" xr:uid="{D4D193F4-8D0F-4372-B653-D8BDF2328BC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Renewed end of August for 3 months.</t>
        </r>
      </text>
    </comment>
    <comment ref="D20" authorId="0" shapeId="0" xr:uid="{0D8EBBD7-538D-4FF0-9C8C-B783C31D20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Renewed in September for 1 month</t>
        </r>
      </text>
    </comment>
    <comment ref="D23" authorId="0" shapeId="0" xr:uid="{C3B16414-ED39-45BB-A2AD-B534F0151E6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Received Cash Flow Report from state.  Increase from the estimated 2 mill.</t>
        </r>
      </text>
    </comment>
    <comment ref="D24" authorId="0" shapeId="0" xr:uid="{781AF87A-C225-431B-9286-F5D5B474484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Jeffersonville Quarry
FW Webb
Mccullough
Omega 
Dirt Tech
Hinesburg Sand
Richmond Home Supply</t>
        </r>
      </text>
    </comment>
    <comment ref="D25" authorId="0" shapeId="0" xr:uid="{EBBF6648-EECC-4A4E-BCDE-8E4184F534A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Dirt tech $97,351
ECI  $50,000 ???
Stromme $20,000</t>
        </r>
      </text>
    </comment>
    <comment ref="D26" authorId="0" shapeId="0" xr:uid="{55497BC4-0FA8-4D9E-BE26-8245F836A4E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Received August 28th, transferred to W&amp;S in November</t>
        </r>
      </text>
    </comment>
    <comment ref="D27" authorId="0" shapeId="0" xr:uid="{6935F451-FEFA-4269-A5A7-9EF200BD1CA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Lower than original estimate.  Used Reserve money.</t>
        </r>
      </text>
    </comment>
    <comment ref="D29" authorId="0" shapeId="0" xr:uid="{FE83A68C-9036-4E31-A896-295C0C3E5FA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Updated numbers due to FY24 bills being paid in FY25</t>
        </r>
      </text>
    </comment>
    <comment ref="D30" authorId="0" shapeId="0" xr:uid="{F6340070-BD6F-416B-AAE7-D0403FE63D2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Includes Paving FY25 $295,000 not yet paid</t>
        </r>
      </text>
    </comment>
    <comment ref="D36" authorId="0" shapeId="0" xr:uid="{E43EA572-BA9A-47E7-87BD-CAC86C060B8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QTR 2 update</t>
        </r>
      </text>
    </comment>
    <comment ref="D44" authorId="0" shapeId="0" xr:uid="{D7B49EE2-33E0-42B4-9E73-7FD4758CB65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QTR update</t>
        </r>
      </text>
    </comment>
    <comment ref="D46" authorId="0" shapeId="0" xr:uid="{763E2033-7E49-47EF-88F2-8171FE6842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QTR 2 updates</t>
        </r>
      </text>
    </comment>
    <comment ref="D53" authorId="0" shapeId="0" xr:uid="{440B2C73-131C-4EC9-93B0-3DC32ADCCB8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Updated numbers</t>
        </r>
      </text>
    </comment>
    <comment ref="D56" authorId="0" shapeId="0" xr:uid="{0506E751-A44C-4A19-87C4-A4F2A4BCC4C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updated numbers</t>
        </r>
      </text>
    </comment>
    <comment ref="D57" authorId="0" shapeId="0" xr:uid="{AF5C6189-5E4C-44F4-BAB2-D2E97D2D71D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Money received in August as deferred revenue</t>
        </r>
      </text>
    </comment>
    <comment ref="D60" authorId="0" shapeId="0" xr:uid="{516F6542-55C9-49C6-84B7-07A4A0C320D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Updated numbers</t>
        </r>
      </text>
    </comment>
    <comment ref="D61" authorId="0" shapeId="0" xr:uid="{E163AF52-D701-4E82-B974-4AA134A71FC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Updated numbers</t>
        </r>
      </text>
    </comment>
    <comment ref="C67" authorId="0" shapeId="0" xr:uid="{C516E254-2938-4C06-94F3-6BAA3599E97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Per Attorney, can only borrow from reserves with a similar purpose of what the funds are being used for.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A3" authorId="0" shapeId="0" xr:uid="{97B756FC-D0C4-4961-9D95-BB5A52728CC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10-7 for general expenses.
through 10-8 appropriations</t>
        </r>
      </text>
    </comment>
    <comment ref="A18" authorId="0" shapeId="0" xr:uid="{AADBBDFF-D424-4947-92C2-6CDF33DAF58C}">
      <text>
        <r>
          <rPr>
            <b/>
            <sz val="9"/>
            <color indexed="81"/>
            <rFont val="Tahoma"/>
            <family val="2"/>
          </rPr>
          <t>Finance:
Does not include 2023 flood expenses</t>
        </r>
      </text>
    </comment>
    <comment ref="L22" authorId="0" shapeId="0" xr:uid="{7B63DF88-B01A-4B38-8191-70F1B133F1A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October paving</t>
        </r>
      </text>
    </comment>
    <comment ref="L30" authorId="0" shapeId="0" xr:uid="{CF9CB43D-A54F-47F1-A4EA-DC30A06CDC7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Paving done in October</t>
        </r>
      </text>
    </comment>
  </commentList>
</comments>
</file>

<file path=xl/sharedStrings.xml><?xml version="1.0" encoding="utf-8"?>
<sst xmlns="http://schemas.openxmlformats.org/spreadsheetml/2006/main" count="185" uniqueCount="142">
  <si>
    <t>RESERVE ACCOUNTS</t>
  </si>
  <si>
    <t>CAPITAL PROJECT FUNDS</t>
  </si>
  <si>
    <t>PZ Legal Reserve</t>
  </si>
  <si>
    <t>Fire Safety Equip &amp; Gear</t>
  </si>
  <si>
    <t>Conservation Commission</t>
  </si>
  <si>
    <t>Police</t>
  </si>
  <si>
    <t>Library</t>
  </si>
  <si>
    <t>Fire Dept.</t>
  </si>
  <si>
    <t>Fire Dept. impact Fees</t>
  </si>
  <si>
    <t xml:space="preserve">Highway Capital </t>
  </si>
  <si>
    <t>Highway Bridge &amp; Culvert</t>
  </si>
  <si>
    <t>Highway Guardrails</t>
  </si>
  <si>
    <t>Sidewalk Reserve</t>
  </si>
  <si>
    <t>Railroad St.</t>
  </si>
  <si>
    <t>SPECIAL REVENUE FUNDS</t>
  </si>
  <si>
    <t>Reappraisal</t>
  </si>
  <si>
    <t>Records Restoration</t>
  </si>
  <si>
    <t xml:space="preserve">Adam Muller Flag </t>
  </si>
  <si>
    <t>Recreation Path</t>
  </si>
  <si>
    <t>Soccer</t>
  </si>
  <si>
    <t>ARPA</t>
  </si>
  <si>
    <t>Tree Replacement</t>
  </si>
  <si>
    <t>Lister Education</t>
  </si>
  <si>
    <t>Andrews Community Forrest</t>
  </si>
  <si>
    <t>TOTAL RESERVES IN GENERAL CHECKING</t>
  </si>
  <si>
    <t>FY25</t>
  </si>
  <si>
    <t>Balance       07-16-24</t>
  </si>
  <si>
    <t>July</t>
  </si>
  <si>
    <t xml:space="preserve">Budgeted </t>
  </si>
  <si>
    <t>Highway</t>
  </si>
  <si>
    <t>General</t>
  </si>
  <si>
    <t>Actuals</t>
  </si>
  <si>
    <t>%</t>
  </si>
  <si>
    <t>FY24</t>
  </si>
  <si>
    <t>Expenses</t>
  </si>
  <si>
    <t>Tax Revenue</t>
  </si>
  <si>
    <t>Non Tax Revenue</t>
  </si>
  <si>
    <t>Budgeted Expenses General</t>
  </si>
  <si>
    <t>Budgeted Expenses Highway</t>
  </si>
  <si>
    <t>FY25 Expenses end of QTR 2</t>
  </si>
  <si>
    <t>Education Taxes in November</t>
  </si>
  <si>
    <t>Flood expenses</t>
  </si>
  <si>
    <t>FY25 Expenses end of QTR 3</t>
  </si>
  <si>
    <t>Education Taxes in February</t>
  </si>
  <si>
    <t>FY25 Expenses end of QTR 4</t>
  </si>
  <si>
    <t>Jan</t>
  </si>
  <si>
    <t>Feb</t>
  </si>
  <si>
    <t>March</t>
  </si>
  <si>
    <t>April</t>
  </si>
  <si>
    <t>May</t>
  </si>
  <si>
    <t>June</t>
  </si>
  <si>
    <t>September</t>
  </si>
  <si>
    <t>October</t>
  </si>
  <si>
    <t>November</t>
  </si>
  <si>
    <t>December</t>
  </si>
  <si>
    <t>These formulas do not consider any cash layout for:</t>
  </si>
  <si>
    <t>Non FEMA grants</t>
  </si>
  <si>
    <t>FEMA buyouts</t>
  </si>
  <si>
    <t>Another Crises</t>
  </si>
  <si>
    <t>Running balance</t>
  </si>
  <si>
    <t>Education Taxes in May</t>
  </si>
  <si>
    <t>FY25 Capital purchases are low across the board</t>
  </si>
  <si>
    <t>Interest Revenue may be  less than budgeted</t>
  </si>
  <si>
    <t>Balance - Cash</t>
  </si>
  <si>
    <t>CD#7 matures 11/24 - See below QTR 2 Revenue</t>
  </si>
  <si>
    <t>Revenue</t>
  </si>
  <si>
    <t>Cash Balance end of QTR 2</t>
  </si>
  <si>
    <t>Cash Balance end of QTR 3</t>
  </si>
  <si>
    <t>Cash Balance end of QTR 4</t>
  </si>
  <si>
    <t>Total Revenue &amp; Expenses for QTR 2</t>
  </si>
  <si>
    <t>Total Revenue &amp; Expenses for QTR 3</t>
  </si>
  <si>
    <t>Total Revenue &amp; Expenses for QTR 4</t>
  </si>
  <si>
    <t>Reserves</t>
  </si>
  <si>
    <t>NOTES</t>
  </si>
  <si>
    <t>Reserves utilized during FY25</t>
  </si>
  <si>
    <t>FY26 Capital purchases, already voted on, are high, and will most likely hit in July of 25</t>
  </si>
  <si>
    <t>Vacant police positions being filled in FY25 vs Hinesburg contracts</t>
  </si>
  <si>
    <t>Cost of a new loan to cover our expenses for the year.</t>
  </si>
  <si>
    <t>FEMA elevation projects (1-2 month turnaround)</t>
  </si>
  <si>
    <t>August</t>
  </si>
  <si>
    <t>New Transportation Infrastructure</t>
  </si>
  <si>
    <t>New part time, temporary, Administrative position added to budgeted, quarterly, general expenses</t>
  </si>
  <si>
    <t>These numbers do include</t>
  </si>
  <si>
    <t>Numerical Order</t>
  </si>
  <si>
    <t>Usage Order</t>
  </si>
  <si>
    <t>FY25 Southview $40,000</t>
  </si>
  <si>
    <t>Capital projects in FY25-FY28</t>
  </si>
  <si>
    <t>FY28 Bates Culvert $30,000.  Building reserve for Southview Bridge in FY31</t>
  </si>
  <si>
    <t>General Fund Cash Balances 09/30/24</t>
  </si>
  <si>
    <t>CD#8 matures 10/24 - See below QTR 1 Revenue</t>
  </si>
  <si>
    <t>CD#6 matures 11/24 - See below QTR 1 Revenue</t>
  </si>
  <si>
    <t>CD#8 for 1 month matures 10/24</t>
  </si>
  <si>
    <t>CD#6 for 3 months matures 11/24</t>
  </si>
  <si>
    <t xml:space="preserve">CD#7 for 6 months matures 11/24 </t>
  </si>
  <si>
    <t>Actuals based on %</t>
  </si>
  <si>
    <t>Outstanding Checks</t>
  </si>
  <si>
    <t>Flood expenses paid in October</t>
  </si>
  <si>
    <t>Budgeted Expenses General estimated</t>
  </si>
  <si>
    <t>Balance       10/23/24</t>
  </si>
  <si>
    <t>FEMA reimbursement for 2023 Flood received in October 2024</t>
  </si>
  <si>
    <t xml:space="preserve">Outstanding Deposits </t>
  </si>
  <si>
    <t>Budgeted Expenses Highway estimated</t>
  </si>
  <si>
    <t>Flood expenses - Old Jericho Rd and Dugway Rd</t>
  </si>
  <si>
    <t>FEMA reimbursement for 2023 Flood to be received in November 2024 - projection</t>
  </si>
  <si>
    <t>QTR 1</t>
  </si>
  <si>
    <t>QTR 2</t>
  </si>
  <si>
    <t>QTR 3</t>
  </si>
  <si>
    <t>QTR 4</t>
  </si>
  <si>
    <t>Tax Admin</t>
  </si>
  <si>
    <t>Monthly based on %</t>
  </si>
  <si>
    <t>Quarter</t>
  </si>
  <si>
    <t>November - predict</t>
  </si>
  <si>
    <t>Admin</t>
  </si>
  <si>
    <t>Recreation</t>
  </si>
  <si>
    <t>Water</t>
  </si>
  <si>
    <t>Sewer</t>
  </si>
  <si>
    <t>TOTAL</t>
  </si>
  <si>
    <t>Tax Revenue from Tax Admin</t>
  </si>
  <si>
    <t>Flood Expenses paid November - estimate - waiting for invoices</t>
  </si>
  <si>
    <t>General Checking Bank Balance</t>
  </si>
  <si>
    <t>Reserve fund balances 10/23/24 for non Highway reserves</t>
  </si>
  <si>
    <t>Reserve fund balances 10/23/24 for Highway reserves:  Highway Capital,  Bridge &amp; Culvert, Guardrails.</t>
  </si>
  <si>
    <t>Per Quarter</t>
  </si>
  <si>
    <t>Tax Admin received</t>
  </si>
  <si>
    <t>Tax Admin Est received</t>
  </si>
  <si>
    <t>No reserve use</t>
  </si>
  <si>
    <t>FINAL ESTIMATED GENERAL CHECKING FUND BALANCE USING NO RESERVES</t>
  </si>
  <si>
    <t>THIS DRASTICALLY IMPACTS CAPITAL PLAN FOR HIGHWAY.</t>
  </si>
  <si>
    <t>Flood Expense paid to General Checking for 2023 Flood belongs to W&amp;S</t>
  </si>
  <si>
    <t>Fire Chassis paid in October</t>
  </si>
  <si>
    <t>Grant Reimbursement for Huntington Road</t>
  </si>
  <si>
    <t>Pickle Ball Courts</t>
  </si>
  <si>
    <t>FEMA 2024 Windstorm</t>
  </si>
  <si>
    <t>FEMA 2023 Railroad Street</t>
  </si>
  <si>
    <t>FHWA 2023 Flood</t>
  </si>
  <si>
    <t>Paving on Huntington Road ($200K reimbursed from state)</t>
  </si>
  <si>
    <t>FEMA 2023 Correction for funding increased to 90%</t>
  </si>
  <si>
    <t>FEMA 2019 Flood ERAF</t>
  </si>
  <si>
    <t>Highway reserves used</t>
  </si>
  <si>
    <t>Additional ARPA expenses</t>
  </si>
  <si>
    <t>Highway Capital</t>
  </si>
  <si>
    <t xml:space="preserve">FINAL ESTIMATED GENERAL CHECKING FUND BALANCE MINUS ONLY NON-HIGHWAY RESERVES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</si>
</sst>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1" xfId="0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41" fontId="2" fillId="0" borderId="3" xfId="0" applyNumberFormat="1" applyFont="1" applyBorder="1" applyAlignment="1">
      <alignment horizontal="center" wrapText="1"/>
    </xf>
    <xf numFmtId="0" fontId="0" fillId="0" borderId="4" xfId="0" applyBorder="1"/>
    <xf numFmtId="41" fontId="0" fillId="0" borderId="4" xfId="0" applyNumberFormat="1" applyBorder="1"/>
    <xf numFmtId="41" fontId="0" fillId="0" borderId="5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3" fontId="0" fillId="0" borderId="2" xfId="0" applyNumberFormat="1" applyBorder="1"/>
    <xf numFmtId="3" fontId="0" fillId="4" borderId="9" xfId="0" applyNumberFormat="1" applyFill="1" applyBorder="1"/>
    <xf numFmtId="3" fontId="0" fillId="4" borderId="8" xfId="0" applyNumberFormat="1" applyFill="1" applyBorder="1"/>
    <xf numFmtId="3" fontId="0" fillId="5" borderId="9" xfId="0" applyNumberFormat="1" applyFill="1" applyBorder="1"/>
    <xf numFmtId="0" fontId="0" fillId="0" borderId="2" xfId="0" applyBorder="1"/>
    <xf numFmtId="3" fontId="0" fillId="3" borderId="0" xfId="0" applyNumberFormat="1" applyFill="1"/>
    <xf numFmtId="3" fontId="0" fillId="0" borderId="0" xfId="0" applyNumberFormat="1" applyAlignment="1">
      <alignment horizontal="center"/>
    </xf>
    <xf numFmtId="0" fontId="0" fillId="0" borderId="10" xfId="0" applyBorder="1"/>
    <xf numFmtId="3" fontId="0" fillId="0" borderId="10" xfId="0" applyNumberFormat="1" applyBorder="1"/>
    <xf numFmtId="0" fontId="0" fillId="0" borderId="12" xfId="0" applyBorder="1"/>
    <xf numFmtId="3" fontId="0" fillId="0" borderId="12" xfId="0" applyNumberFormat="1" applyBorder="1"/>
    <xf numFmtId="3" fontId="0" fillId="0" borderId="11" xfId="0" applyNumberFormat="1" applyBorder="1"/>
    <xf numFmtId="0" fontId="0" fillId="0" borderId="12" xfId="0" applyBorder="1" applyAlignment="1">
      <alignment horizontal="center"/>
    </xf>
    <xf numFmtId="3" fontId="0" fillId="0" borderId="13" xfId="0" applyNumberFormat="1" applyBorder="1"/>
    <xf numFmtId="3" fontId="0" fillId="5" borderId="0" xfId="0" applyNumberFormat="1" applyFill="1"/>
    <xf numFmtId="41" fontId="0" fillId="3" borderId="4" xfId="0" applyNumberFormat="1" applyFill="1" applyBorder="1"/>
    <xf numFmtId="3" fontId="0" fillId="3" borderId="2" xfId="0" applyNumberFormat="1" applyFill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3" fontId="0" fillId="4" borderId="0" xfId="0" applyNumberFormat="1" applyFill="1"/>
    <xf numFmtId="0" fontId="5" fillId="0" borderId="0" xfId="0" applyFont="1"/>
    <xf numFmtId="3" fontId="5" fillId="0" borderId="0" xfId="0" applyNumberFormat="1" applyFont="1"/>
    <xf numFmtId="3" fontId="0" fillId="0" borderId="4" xfId="0" applyNumberFormat="1" applyBorder="1" applyAlignment="1">
      <alignment horizontal="right"/>
    </xf>
    <xf numFmtId="41" fontId="0" fillId="0" borderId="4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C8D9-9CBB-4030-97DE-DE950C31A5BB}">
  <dimension ref="A2:F86"/>
  <sheetViews>
    <sheetView tabSelected="1" topLeftCell="A58" zoomScale="160" zoomScaleNormal="160" workbookViewId="0">
      <selection activeCell="C68" sqref="C68"/>
    </sheetView>
  </sheetViews>
  <sheetFormatPr defaultRowHeight="15" x14ac:dyDescent="0.25"/>
  <cols>
    <col min="2" max="2" width="6.5703125" customWidth="1"/>
    <col min="3" max="3" width="80.28515625" customWidth="1"/>
    <col min="4" max="4" width="15" style="6" customWidth="1"/>
    <col min="5" max="5" width="18.42578125" customWidth="1"/>
  </cols>
  <sheetData>
    <row r="2" spans="1:5" x14ac:dyDescent="0.25">
      <c r="A2" t="s">
        <v>88</v>
      </c>
      <c r="E2" s="7" t="s">
        <v>59</v>
      </c>
    </row>
    <row r="3" spans="1:5" x14ac:dyDescent="0.25">
      <c r="C3" t="s">
        <v>119</v>
      </c>
      <c r="D3" s="6">
        <v>2137007.66</v>
      </c>
    </row>
    <row r="4" spans="1:5" x14ac:dyDescent="0.25">
      <c r="C4" t="s">
        <v>100</v>
      </c>
      <c r="D4" s="6">
        <v>1979.32</v>
      </c>
    </row>
    <row r="5" spans="1:5" x14ac:dyDescent="0.25">
      <c r="C5" t="s">
        <v>95</v>
      </c>
      <c r="D5" s="6">
        <v>-182645</v>
      </c>
    </row>
    <row r="6" spans="1:5" x14ac:dyDescent="0.25">
      <c r="C6" t="s">
        <v>90</v>
      </c>
    </row>
    <row r="7" spans="1:5" x14ac:dyDescent="0.25">
      <c r="C7" t="s">
        <v>64</v>
      </c>
    </row>
    <row r="8" spans="1:5" x14ac:dyDescent="0.25">
      <c r="C8" t="s">
        <v>89</v>
      </c>
    </row>
    <row r="9" spans="1:5" x14ac:dyDescent="0.25">
      <c r="C9" t="s">
        <v>63</v>
      </c>
      <c r="D9" s="15">
        <f>SUM(D3:D8)</f>
        <v>1956341.98</v>
      </c>
      <c r="E9" s="16">
        <f>SUM(D3:D8)</f>
        <v>1956341.98</v>
      </c>
    </row>
    <row r="11" spans="1:5" x14ac:dyDescent="0.25">
      <c r="A11" t="s">
        <v>39</v>
      </c>
    </row>
    <row r="12" spans="1:5" x14ac:dyDescent="0.25">
      <c r="B12" t="s">
        <v>65</v>
      </c>
    </row>
    <row r="13" spans="1:5" x14ac:dyDescent="0.25">
      <c r="C13" t="s">
        <v>35</v>
      </c>
      <c r="D13" s="6">
        <v>3064325</v>
      </c>
    </row>
    <row r="14" spans="1:5" x14ac:dyDescent="0.25">
      <c r="C14" t="s">
        <v>36</v>
      </c>
      <c r="D14" s="6">
        <v>108435</v>
      </c>
    </row>
    <row r="15" spans="1:5" x14ac:dyDescent="0.25">
      <c r="C15" t="s">
        <v>99</v>
      </c>
      <c r="D15" s="6">
        <v>199994.59</v>
      </c>
    </row>
    <row r="16" spans="1:5" x14ac:dyDescent="0.25">
      <c r="C16" t="s">
        <v>103</v>
      </c>
      <c r="D16" s="6">
        <v>128933</v>
      </c>
    </row>
    <row r="17" spans="2:5" x14ac:dyDescent="0.25">
      <c r="C17" t="s">
        <v>130</v>
      </c>
      <c r="D17" s="6">
        <v>200000</v>
      </c>
    </row>
    <row r="18" spans="2:5" x14ac:dyDescent="0.25">
      <c r="C18" t="s">
        <v>92</v>
      </c>
      <c r="D18" s="6">
        <v>575676</v>
      </c>
    </row>
    <row r="19" spans="2:5" x14ac:dyDescent="0.25">
      <c r="C19" t="s">
        <v>93</v>
      </c>
      <c r="D19" s="6">
        <v>767605.86</v>
      </c>
    </row>
    <row r="20" spans="2:5" x14ac:dyDescent="0.25">
      <c r="C20" t="s">
        <v>91</v>
      </c>
      <c r="D20" s="6">
        <v>603135</v>
      </c>
    </row>
    <row r="22" spans="2:5" x14ac:dyDescent="0.25">
      <c r="B22" t="s">
        <v>34</v>
      </c>
    </row>
    <row r="23" spans="2:5" x14ac:dyDescent="0.25">
      <c r="C23" t="s">
        <v>40</v>
      </c>
      <c r="D23" s="6">
        <v>-2201760</v>
      </c>
    </row>
    <row r="24" spans="2:5" x14ac:dyDescent="0.25">
      <c r="C24" t="s">
        <v>96</v>
      </c>
      <c r="D24" s="6">
        <v>-406506</v>
      </c>
    </row>
    <row r="25" spans="2:5" x14ac:dyDescent="0.25">
      <c r="C25" t="s">
        <v>118</v>
      </c>
      <c r="D25" s="6">
        <v>-195000</v>
      </c>
    </row>
    <row r="26" spans="2:5" x14ac:dyDescent="0.25">
      <c r="C26" t="s">
        <v>128</v>
      </c>
      <c r="D26" s="6">
        <v>-29828.560000000001</v>
      </c>
    </row>
    <row r="27" spans="2:5" x14ac:dyDescent="0.25">
      <c r="C27" t="s">
        <v>129</v>
      </c>
      <c r="D27" s="6">
        <v>-121300</v>
      </c>
    </row>
    <row r="28" spans="2:5" x14ac:dyDescent="0.25">
      <c r="C28" t="s">
        <v>135</v>
      </c>
      <c r="D28" s="6">
        <v>-200000</v>
      </c>
    </row>
    <row r="29" spans="2:5" x14ac:dyDescent="0.25">
      <c r="C29" t="s">
        <v>97</v>
      </c>
      <c r="D29" s="6">
        <v>-539127</v>
      </c>
    </row>
    <row r="30" spans="2:5" x14ac:dyDescent="0.25">
      <c r="C30" t="s">
        <v>101</v>
      </c>
      <c r="D30" s="6">
        <f>-'FY25 Budget Actual Rev &amp; Exp'!M24</f>
        <v>-659451.37085931015</v>
      </c>
    </row>
    <row r="31" spans="2:5" x14ac:dyDescent="0.25">
      <c r="C31" s="18" t="s">
        <v>69</v>
      </c>
      <c r="D31" s="15">
        <f>SUM(D13:D30)</f>
        <v>1295131.5191406901</v>
      </c>
    </row>
    <row r="32" spans="2:5" x14ac:dyDescent="0.25">
      <c r="C32" t="s">
        <v>66</v>
      </c>
      <c r="E32" s="16">
        <f>E9+D31</f>
        <v>3251473.4991406901</v>
      </c>
    </row>
    <row r="34" spans="1:5" x14ac:dyDescent="0.25">
      <c r="A34" t="s">
        <v>42</v>
      </c>
    </row>
    <row r="35" spans="1:5" x14ac:dyDescent="0.25">
      <c r="B35" t="s">
        <v>65</v>
      </c>
    </row>
    <row r="36" spans="1:5" x14ac:dyDescent="0.25">
      <c r="C36" t="s">
        <v>35</v>
      </c>
      <c r="D36" s="6">
        <v>2990294</v>
      </c>
    </row>
    <row r="37" spans="1:5" x14ac:dyDescent="0.25">
      <c r="C37" t="s">
        <v>36</v>
      </c>
      <c r="D37" s="6">
        <v>108435</v>
      </c>
      <c r="E37" s="6"/>
    </row>
    <row r="38" spans="1:5" x14ac:dyDescent="0.25">
      <c r="C38" t="s">
        <v>137</v>
      </c>
      <c r="D38" s="6">
        <v>46950</v>
      </c>
      <c r="E38" s="6"/>
    </row>
    <row r="39" spans="1:5" x14ac:dyDescent="0.25">
      <c r="C39" t="s">
        <v>132</v>
      </c>
      <c r="D39" s="6">
        <v>10491</v>
      </c>
      <c r="E39" s="6"/>
    </row>
    <row r="40" spans="1:5" x14ac:dyDescent="0.25">
      <c r="C40" t="s">
        <v>133</v>
      </c>
      <c r="D40" s="6">
        <v>900</v>
      </c>
      <c r="E40" s="6"/>
    </row>
    <row r="41" spans="1:5" x14ac:dyDescent="0.25">
      <c r="C41" t="s">
        <v>134</v>
      </c>
      <c r="D41" s="6">
        <v>92331</v>
      </c>
      <c r="E41" s="6"/>
    </row>
    <row r="42" spans="1:5" x14ac:dyDescent="0.25">
      <c r="C42" s="34" t="s">
        <v>136</v>
      </c>
      <c r="D42" s="35">
        <v>126000</v>
      </c>
      <c r="E42" s="6"/>
    </row>
    <row r="43" spans="1:5" x14ac:dyDescent="0.25">
      <c r="B43" t="s">
        <v>34</v>
      </c>
    </row>
    <row r="44" spans="1:5" x14ac:dyDescent="0.25">
      <c r="C44" t="s">
        <v>43</v>
      </c>
      <c r="D44" s="6">
        <v>-2201760</v>
      </c>
    </row>
    <row r="45" spans="1:5" x14ac:dyDescent="0.25">
      <c r="C45" t="s">
        <v>41</v>
      </c>
      <c r="D45" s="6">
        <v>0</v>
      </c>
    </row>
    <row r="46" spans="1:5" x14ac:dyDescent="0.25">
      <c r="C46" t="s">
        <v>37</v>
      </c>
      <c r="D46" s="6">
        <v>-648367</v>
      </c>
    </row>
    <row r="47" spans="1:5" x14ac:dyDescent="0.25">
      <c r="C47" t="s">
        <v>38</v>
      </c>
      <c r="D47" s="6">
        <f>-'FY25 Budget Actual Rev &amp; Exp'!M27</f>
        <v>-346465.87434954429</v>
      </c>
    </row>
    <row r="48" spans="1:5" x14ac:dyDescent="0.25">
      <c r="C48" s="18" t="s">
        <v>70</v>
      </c>
      <c r="D48" s="15">
        <f>SUM(D36:D47)</f>
        <v>178808.12565045571</v>
      </c>
    </row>
    <row r="49" spans="1:5" x14ac:dyDescent="0.25">
      <c r="C49" t="s">
        <v>67</v>
      </c>
      <c r="E49" s="16">
        <f>SUM(E32+D48)</f>
        <v>3430281.6247911458</v>
      </c>
    </row>
    <row r="51" spans="1:5" x14ac:dyDescent="0.25">
      <c r="A51" t="s">
        <v>44</v>
      </c>
    </row>
    <row r="52" spans="1:5" x14ac:dyDescent="0.25">
      <c r="B52" t="s">
        <v>65</v>
      </c>
    </row>
    <row r="53" spans="1:5" x14ac:dyDescent="0.25">
      <c r="C53" t="s">
        <v>35</v>
      </c>
      <c r="D53" s="6">
        <v>2917854</v>
      </c>
    </row>
    <row r="54" spans="1:5" x14ac:dyDescent="0.25">
      <c r="C54" t="s">
        <v>36</v>
      </c>
      <c r="D54" s="6">
        <v>108435</v>
      </c>
    </row>
    <row r="55" spans="1:5" x14ac:dyDescent="0.25">
      <c r="B55" t="s">
        <v>34</v>
      </c>
    </row>
    <row r="56" spans="1:5" x14ac:dyDescent="0.25">
      <c r="C56" t="s">
        <v>60</v>
      </c>
      <c r="D56" s="6">
        <v>-2201760</v>
      </c>
    </row>
    <row r="57" spans="1:5" x14ac:dyDescent="0.25">
      <c r="C57" t="s">
        <v>102</v>
      </c>
      <c r="D57" s="6">
        <v>-374801.38</v>
      </c>
    </row>
    <row r="58" spans="1:5" x14ac:dyDescent="0.25">
      <c r="C58" t="s">
        <v>131</v>
      </c>
      <c r="D58" s="6">
        <v>-144911</v>
      </c>
    </row>
    <row r="59" spans="1:5" x14ac:dyDescent="0.25">
      <c r="C59" t="s">
        <v>139</v>
      </c>
      <c r="D59" s="6">
        <v>-42000</v>
      </c>
    </row>
    <row r="60" spans="1:5" x14ac:dyDescent="0.25">
      <c r="C60" t="s">
        <v>37</v>
      </c>
      <c r="D60" s="6">
        <v>-918356</v>
      </c>
    </row>
    <row r="61" spans="1:5" x14ac:dyDescent="0.25">
      <c r="C61" t="s">
        <v>38</v>
      </c>
      <c r="D61" s="6">
        <f>-'FY25 Budget Actual Rev &amp; Exp'!M30</f>
        <v>-457035.49415115628</v>
      </c>
    </row>
    <row r="62" spans="1:5" x14ac:dyDescent="0.25">
      <c r="C62" s="18" t="s">
        <v>71</v>
      </c>
      <c r="D62" s="17">
        <f>SUM(D53:D61)</f>
        <v>-1112574.8741511563</v>
      </c>
      <c r="E62" s="6"/>
    </row>
    <row r="63" spans="1:5" x14ac:dyDescent="0.25">
      <c r="C63" t="s">
        <v>68</v>
      </c>
      <c r="E63" s="16">
        <f>SUM(E49+D62)</f>
        <v>2317706.7506399895</v>
      </c>
    </row>
    <row r="65" spans="1:6" x14ac:dyDescent="0.25">
      <c r="A65" t="s">
        <v>72</v>
      </c>
      <c r="E65" s="6"/>
    </row>
    <row r="66" spans="1:6" x14ac:dyDescent="0.25">
      <c r="B66" t="s">
        <v>120</v>
      </c>
      <c r="C66" s="6"/>
      <c r="D66" s="6">
        <v>2104910</v>
      </c>
      <c r="E66" s="6"/>
    </row>
    <row r="67" spans="1:6" x14ac:dyDescent="0.25">
      <c r="B67" t="s">
        <v>121</v>
      </c>
      <c r="C67" s="6"/>
      <c r="D67" s="6">
        <v>700743</v>
      </c>
      <c r="E67" s="6"/>
    </row>
    <row r="68" spans="1:6" x14ac:dyDescent="0.25">
      <c r="D68" s="14"/>
    </row>
    <row r="69" spans="1:6" x14ac:dyDescent="0.25">
      <c r="A69" t="s">
        <v>126</v>
      </c>
      <c r="E69" s="28">
        <f>SUM(E63-D66-D67)</f>
        <v>-487946.24936001049</v>
      </c>
      <c r="F69" t="s">
        <v>125</v>
      </c>
    </row>
    <row r="70" spans="1:6" ht="21.75" customHeight="1" x14ac:dyDescent="0.25">
      <c r="A70" t="s">
        <v>141</v>
      </c>
      <c r="E70" s="33">
        <f>SUM(E63-D66)</f>
        <v>212796.75063998951</v>
      </c>
      <c r="F70" t="s">
        <v>138</v>
      </c>
    </row>
    <row r="71" spans="1:6" x14ac:dyDescent="0.25">
      <c r="B71" t="s">
        <v>127</v>
      </c>
    </row>
    <row r="72" spans="1:6" x14ac:dyDescent="0.25">
      <c r="A72" t="s">
        <v>73</v>
      </c>
    </row>
    <row r="73" spans="1:6" x14ac:dyDescent="0.25">
      <c r="B73" t="s">
        <v>55</v>
      </c>
    </row>
    <row r="74" spans="1:6" x14ac:dyDescent="0.25">
      <c r="C74" t="s">
        <v>74</v>
      </c>
    </row>
    <row r="75" spans="1:6" x14ac:dyDescent="0.25">
      <c r="C75" t="s">
        <v>76</v>
      </c>
    </row>
    <row r="76" spans="1:6" x14ac:dyDescent="0.25">
      <c r="C76" t="s">
        <v>56</v>
      </c>
    </row>
    <row r="77" spans="1:6" x14ac:dyDescent="0.25">
      <c r="C77" t="s">
        <v>78</v>
      </c>
    </row>
    <row r="78" spans="1:6" x14ac:dyDescent="0.25">
      <c r="C78" t="s">
        <v>57</v>
      </c>
    </row>
    <row r="79" spans="1:6" x14ac:dyDescent="0.25">
      <c r="C79" t="s">
        <v>58</v>
      </c>
    </row>
    <row r="80" spans="1:6" x14ac:dyDescent="0.25">
      <c r="C80" t="s">
        <v>61</v>
      </c>
    </row>
    <row r="81" spans="2:3" x14ac:dyDescent="0.25">
      <c r="C81" t="s">
        <v>75</v>
      </c>
    </row>
    <row r="82" spans="2:3" x14ac:dyDescent="0.25">
      <c r="C82" t="s">
        <v>62</v>
      </c>
    </row>
    <row r="83" spans="2:3" x14ac:dyDescent="0.25">
      <c r="C83" t="s">
        <v>77</v>
      </c>
    </row>
    <row r="85" spans="2:3" x14ac:dyDescent="0.25">
      <c r="B85" t="s">
        <v>82</v>
      </c>
    </row>
    <row r="86" spans="2:3" x14ac:dyDescent="0.25">
      <c r="C86" t="s">
        <v>81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44A5-5455-474B-B400-48A64F5413B2}">
  <dimension ref="A1:M43"/>
  <sheetViews>
    <sheetView topLeftCell="A28" zoomScale="130" zoomScaleNormal="130" workbookViewId="0">
      <selection activeCell="H4" sqref="H4"/>
    </sheetView>
  </sheetViews>
  <sheetFormatPr defaultRowHeight="15" x14ac:dyDescent="0.25"/>
  <cols>
    <col min="2" max="2" width="20" customWidth="1"/>
    <col min="3" max="3" width="11.7109375" style="6" customWidth="1"/>
    <col min="4" max="4" width="17.140625" style="6" customWidth="1"/>
    <col min="5" max="5" width="12.85546875" style="32" customWidth="1"/>
    <col min="7" max="7" width="12.85546875" style="6" customWidth="1"/>
    <col min="8" max="8" width="21.140625" style="6" customWidth="1"/>
    <col min="9" max="9" width="11.7109375" style="32" customWidth="1"/>
    <col min="11" max="11" width="11.140625" style="6" customWidth="1"/>
    <col min="12" max="12" width="9.140625" style="6"/>
    <col min="13" max="13" width="13.140625" customWidth="1"/>
  </cols>
  <sheetData>
    <row r="1" spans="1:13" x14ac:dyDescent="0.25">
      <c r="A1" t="s">
        <v>34</v>
      </c>
      <c r="C1" s="38" t="s">
        <v>33</v>
      </c>
      <c r="D1" s="38"/>
      <c r="E1" s="38"/>
      <c r="G1" s="38" t="s">
        <v>25</v>
      </c>
      <c r="H1" s="38"/>
      <c r="I1" s="38"/>
      <c r="J1" s="39"/>
      <c r="K1" s="39"/>
      <c r="L1" s="39"/>
      <c r="M1" s="39"/>
    </row>
    <row r="2" spans="1:13" x14ac:dyDescent="0.25">
      <c r="C2" s="20" t="s">
        <v>28</v>
      </c>
      <c r="D2" s="20" t="s">
        <v>31</v>
      </c>
      <c r="E2" s="31" t="s">
        <v>32</v>
      </c>
      <c r="G2" s="20" t="s">
        <v>28</v>
      </c>
      <c r="H2" s="20" t="s">
        <v>94</v>
      </c>
      <c r="I2" s="31" t="s">
        <v>32</v>
      </c>
      <c r="K2" s="20" t="s">
        <v>109</v>
      </c>
      <c r="M2" s="7" t="s">
        <v>110</v>
      </c>
    </row>
    <row r="3" spans="1:13" x14ac:dyDescent="0.25">
      <c r="A3" t="s">
        <v>30</v>
      </c>
      <c r="C3" s="6">
        <v>2754189</v>
      </c>
      <c r="G3" s="6">
        <v>2949953</v>
      </c>
    </row>
    <row r="4" spans="1:13" x14ac:dyDescent="0.25">
      <c r="B4" t="s">
        <v>27</v>
      </c>
      <c r="D4" s="6">
        <v>126104.63</v>
      </c>
      <c r="E4" s="32">
        <f>SUM(D4/C3)</f>
        <v>4.578648378887578E-2</v>
      </c>
      <c r="H4" s="6">
        <f>SUM(G3*I4)</f>
        <v>135067.97521244548</v>
      </c>
      <c r="I4" s="32">
        <f>E4</f>
        <v>4.578648378887578E-2</v>
      </c>
      <c r="K4" s="6">
        <f>H4</f>
        <v>135067.97521244548</v>
      </c>
    </row>
    <row r="5" spans="1:13" x14ac:dyDescent="0.25">
      <c r="B5" t="s">
        <v>79</v>
      </c>
      <c r="D5" s="6">
        <v>266812.63</v>
      </c>
      <c r="E5" s="32">
        <f>SUM(D5/C3)</f>
        <v>9.6875207184401652E-2</v>
      </c>
      <c r="H5" s="6">
        <f>SUM(G3*I5)</f>
        <v>285777.30805924721</v>
      </c>
      <c r="I5" s="32">
        <f t="shared" ref="I5:I15" si="0">E5</f>
        <v>9.6875207184401652E-2</v>
      </c>
      <c r="K5" s="6">
        <f>H5-H4</f>
        <v>150709.33284680173</v>
      </c>
    </row>
    <row r="6" spans="1:13" x14ac:dyDescent="0.25">
      <c r="B6" t="s">
        <v>51</v>
      </c>
      <c r="D6" s="6">
        <v>723980.08</v>
      </c>
      <c r="E6" s="32">
        <f>SUM(D6/C3)</f>
        <v>0.26286506844664614</v>
      </c>
      <c r="H6" s="6">
        <f>SUM(G3*I6)</f>
        <v>775439.59725938912</v>
      </c>
      <c r="I6" s="32">
        <f t="shared" si="0"/>
        <v>0.26286506844664614</v>
      </c>
      <c r="K6" s="6">
        <f>H6-H5</f>
        <v>489662.28920014191</v>
      </c>
      <c r="M6" s="6">
        <f>SUM(K4:K6)</f>
        <v>775439.59725938912</v>
      </c>
    </row>
    <row r="7" spans="1:13" x14ac:dyDescent="0.25">
      <c r="B7" t="s">
        <v>52</v>
      </c>
      <c r="D7" s="6">
        <v>898224.13</v>
      </c>
      <c r="E7" s="32">
        <f>SUM(D7/C3)</f>
        <v>0.3261301711683548</v>
      </c>
      <c r="H7" s="6">
        <f>SUM(G3*I7)</f>
        <v>962068.67682860175</v>
      </c>
      <c r="I7" s="32">
        <f t="shared" si="0"/>
        <v>0.3261301711683548</v>
      </c>
      <c r="K7" s="6">
        <f t="shared" ref="K7:K15" si="1">H7-H6</f>
        <v>186629.07956921263</v>
      </c>
    </row>
    <row r="8" spans="1:13" x14ac:dyDescent="0.25">
      <c r="B8" t="s">
        <v>53</v>
      </c>
      <c r="D8" s="6">
        <v>1099771</v>
      </c>
      <c r="E8" s="32">
        <f>SUM(D8/C3)</f>
        <v>0.39930847156821847</v>
      </c>
      <c r="H8" s="6">
        <f>SUM(G3*I8)</f>
        <v>1177941.2236280807</v>
      </c>
      <c r="I8" s="32">
        <f t="shared" si="0"/>
        <v>0.39930847156821847</v>
      </c>
      <c r="K8" s="6">
        <f t="shared" si="1"/>
        <v>215872.54679947894</v>
      </c>
    </row>
    <row r="9" spans="1:13" x14ac:dyDescent="0.25">
      <c r="B9" t="s">
        <v>54</v>
      </c>
      <c r="D9" s="6">
        <v>1227329.28</v>
      </c>
      <c r="E9" s="32">
        <f>SUM(D9/C3)</f>
        <v>0.44562275137980728</v>
      </c>
      <c r="H9" s="6">
        <f>SUM(G3*I9)</f>
        <v>1314566.1723011166</v>
      </c>
      <c r="I9" s="32">
        <f t="shared" si="0"/>
        <v>0.44562275137980728</v>
      </c>
      <c r="K9" s="6">
        <f t="shared" si="1"/>
        <v>136624.94867303595</v>
      </c>
      <c r="M9" s="6">
        <f>SUM(K7:K9)</f>
        <v>539126.57504172751</v>
      </c>
    </row>
    <row r="10" spans="1:13" x14ac:dyDescent="0.25">
      <c r="B10" t="s">
        <v>45</v>
      </c>
      <c r="D10" s="6">
        <v>1449244.32</v>
      </c>
      <c r="E10" s="32">
        <f>SUM(D10/C3)</f>
        <v>0.52619639392939266</v>
      </c>
      <c r="H10" s="6">
        <f>SUM(G3*I10)</f>
        <v>1552254.6308611936</v>
      </c>
      <c r="I10" s="32">
        <f t="shared" si="0"/>
        <v>0.52619639392939266</v>
      </c>
      <c r="K10" s="6">
        <f t="shared" si="1"/>
        <v>237688.45856007701</v>
      </c>
    </row>
    <row r="11" spans="1:13" x14ac:dyDescent="0.25">
      <c r="B11" t="s">
        <v>46</v>
      </c>
      <c r="D11" s="6">
        <v>1625806.34</v>
      </c>
      <c r="E11" s="32">
        <f>SUM(D11/C3)</f>
        <v>0.59030311282195957</v>
      </c>
      <c r="H11" s="6">
        <f>SUM(G3*I11)</f>
        <v>1741366.4385784781</v>
      </c>
      <c r="I11" s="32">
        <f t="shared" si="0"/>
        <v>0.59030311282195957</v>
      </c>
      <c r="K11" s="6">
        <f t="shared" si="1"/>
        <v>189111.80771728442</v>
      </c>
    </row>
    <row r="12" spans="1:13" x14ac:dyDescent="0.25">
      <c r="B12" t="s">
        <v>47</v>
      </c>
      <c r="D12" s="6">
        <v>1832669.06</v>
      </c>
      <c r="E12" s="32">
        <f>SUM(D12/C3)</f>
        <v>0.66541150952240391</v>
      </c>
      <c r="H12" s="6">
        <f>SUM(G3*I12)</f>
        <v>1962932.6787501441</v>
      </c>
      <c r="I12" s="32">
        <f t="shared" si="0"/>
        <v>0.66541150952240391</v>
      </c>
      <c r="K12" s="6">
        <f t="shared" si="1"/>
        <v>221566.24017166602</v>
      </c>
      <c r="M12" s="6">
        <f>SUM(K10:K12)</f>
        <v>648366.50644902745</v>
      </c>
    </row>
    <row r="13" spans="1:13" x14ac:dyDescent="0.25">
      <c r="B13" t="s">
        <v>48</v>
      </c>
      <c r="D13" s="6">
        <v>1978816.56</v>
      </c>
      <c r="E13" s="32">
        <f>SUM(D13/C3)</f>
        <v>0.71847522446716616</v>
      </c>
      <c r="H13" s="6">
        <f>SUM(G3*I13)</f>
        <v>2119468.14384259</v>
      </c>
      <c r="I13" s="32">
        <f t="shared" si="0"/>
        <v>0.71847522446716616</v>
      </c>
      <c r="K13" s="6">
        <f t="shared" si="1"/>
        <v>156535.46509244596</v>
      </c>
    </row>
    <row r="14" spans="1:13" x14ac:dyDescent="0.25">
      <c r="B14" t="s">
        <v>49</v>
      </c>
      <c r="D14" s="6">
        <v>2244295.75</v>
      </c>
      <c r="E14" s="32">
        <f>SUM(D14/C3)</f>
        <v>0.81486628187099719</v>
      </c>
      <c r="H14" s="6">
        <f>SUM(G3*I14)</f>
        <v>2403817.2328041936</v>
      </c>
      <c r="I14" s="32">
        <f t="shared" si="0"/>
        <v>0.81486628187099719</v>
      </c>
      <c r="K14" s="6">
        <f t="shared" si="1"/>
        <v>284349.08896160359</v>
      </c>
    </row>
    <row r="15" spans="1:13" x14ac:dyDescent="0.25">
      <c r="B15" t="s">
        <v>50</v>
      </c>
      <c r="D15" s="19">
        <v>2690081.68</v>
      </c>
      <c r="E15" s="32">
        <f>SUM(D15/C3)</f>
        <v>0.97672370342049875</v>
      </c>
      <c r="H15" s="19">
        <f>SUM(G3*I15)</f>
        <v>2881289.0190764107</v>
      </c>
      <c r="I15" s="32">
        <f t="shared" si="0"/>
        <v>0.97672370342049875</v>
      </c>
      <c r="K15" s="6">
        <f t="shared" si="1"/>
        <v>477471.78627221705</v>
      </c>
      <c r="M15" s="6">
        <f>SUM(K13:K15)</f>
        <v>918356.3403262666</v>
      </c>
    </row>
    <row r="18" spans="1:13" x14ac:dyDescent="0.25">
      <c r="A18" t="s">
        <v>29</v>
      </c>
      <c r="C18" s="6">
        <v>1854546</v>
      </c>
      <c r="G18" s="6">
        <v>1965945</v>
      </c>
    </row>
    <row r="19" spans="1:13" x14ac:dyDescent="0.25">
      <c r="B19" t="s">
        <v>27</v>
      </c>
      <c r="D19" s="6">
        <v>65329.52</v>
      </c>
      <c r="E19" s="32">
        <f>SUM(D19/C18)</f>
        <v>3.5226691599992664E-2</v>
      </c>
      <c r="H19" s="6">
        <f>SUM(G18*I19)</f>
        <v>69253.73821754758</v>
      </c>
      <c r="I19" s="32">
        <f>E19</f>
        <v>3.5226691599992664E-2</v>
      </c>
      <c r="K19" s="6">
        <f>H19</f>
        <v>69253.73821754758</v>
      </c>
    </row>
    <row r="20" spans="1:13" x14ac:dyDescent="0.25">
      <c r="B20" t="s">
        <v>79</v>
      </c>
      <c r="D20" s="6">
        <v>123508.12</v>
      </c>
      <c r="E20" s="32">
        <f>SUM(D20/C18)</f>
        <v>6.659749609877566E-2</v>
      </c>
      <c r="H20" s="6">
        <f>SUM(G18*I20)</f>
        <v>130927.01446790752</v>
      </c>
      <c r="I20" s="32">
        <f t="shared" ref="I20:I29" si="2">E20</f>
        <v>6.659749609877566E-2</v>
      </c>
      <c r="K20" s="6">
        <f>H20-H19</f>
        <v>61673.276250359937</v>
      </c>
    </row>
    <row r="21" spans="1:13" x14ac:dyDescent="0.25">
      <c r="B21" t="s">
        <v>51</v>
      </c>
      <c r="D21" s="6">
        <v>308392.08</v>
      </c>
      <c r="E21" s="32">
        <f>SUM(D21/C18)</f>
        <v>0.16628979815005937</v>
      </c>
      <c r="H21" s="6">
        <f>SUM(G18*I21)</f>
        <v>326916.59722411848</v>
      </c>
      <c r="I21" s="32">
        <f t="shared" si="2"/>
        <v>0.16628979815005937</v>
      </c>
      <c r="K21" s="6">
        <f>H21-H20</f>
        <v>195989.58275621096</v>
      </c>
      <c r="M21" s="6">
        <f>SUM(K19:K21)</f>
        <v>326916.59722411848</v>
      </c>
    </row>
    <row r="22" spans="1:13" x14ac:dyDescent="0.25">
      <c r="B22" t="s">
        <v>52</v>
      </c>
      <c r="D22" s="6">
        <v>413759.9</v>
      </c>
      <c r="E22" s="32">
        <f>SUM(D22/C18)</f>
        <v>0.22310576281203057</v>
      </c>
      <c r="H22" s="6">
        <f>SUM(G18*I22)</f>
        <v>438613.65887149744</v>
      </c>
      <c r="I22" s="32">
        <f t="shared" si="2"/>
        <v>0.22310576281203057</v>
      </c>
      <c r="K22" s="6">
        <f t="shared" ref="K22:K28" si="3">H22-H21</f>
        <v>111697.06164737896</v>
      </c>
      <c r="L22" s="6">
        <v>295000</v>
      </c>
      <c r="M22" s="6"/>
    </row>
    <row r="23" spans="1:13" x14ac:dyDescent="0.25">
      <c r="B23" t="s">
        <v>53</v>
      </c>
      <c r="D23" s="6">
        <v>538262</v>
      </c>
      <c r="E23" s="32">
        <f>SUM(D23/C18)</f>
        <v>0.29023922836101129</v>
      </c>
      <c r="H23" s="6">
        <f>SUM(G18*I23)</f>
        <v>570594.35980018834</v>
      </c>
      <c r="I23" s="32">
        <f t="shared" si="2"/>
        <v>0.29023922836101129</v>
      </c>
      <c r="K23" s="6">
        <f t="shared" si="3"/>
        <v>131980.7009286909</v>
      </c>
    </row>
    <row r="24" spans="1:13" x14ac:dyDescent="0.25">
      <c r="B24" t="s">
        <v>54</v>
      </c>
      <c r="D24" s="6">
        <v>652192.05000000005</v>
      </c>
      <c r="E24" s="32">
        <f>SUM(D24/C18)</f>
        <v>0.35167208039056463</v>
      </c>
      <c r="H24" s="6">
        <f>SUM(G18*I24)</f>
        <v>691367.96808342857</v>
      </c>
      <c r="I24" s="32">
        <f t="shared" si="2"/>
        <v>0.35167208039056463</v>
      </c>
      <c r="K24" s="6">
        <f t="shared" si="3"/>
        <v>120773.60828324023</v>
      </c>
      <c r="M24" s="6">
        <f>SUM(K22:L24)</f>
        <v>659451.37085931015</v>
      </c>
    </row>
    <row r="25" spans="1:13" x14ac:dyDescent="0.25">
      <c r="B25" t="s">
        <v>45</v>
      </c>
      <c r="D25" s="6">
        <v>739528.08</v>
      </c>
      <c r="E25" s="32">
        <f>SUM(D25/C18)</f>
        <v>0.39876502389264001</v>
      </c>
      <c r="H25" s="6">
        <f>SUM(G18*I25)</f>
        <v>783950.10489661619</v>
      </c>
      <c r="I25" s="32">
        <f t="shared" si="2"/>
        <v>0.39876502389264001</v>
      </c>
      <c r="K25" s="6">
        <f t="shared" si="3"/>
        <v>92582.136813187622</v>
      </c>
    </row>
    <row r="26" spans="1:13" x14ac:dyDescent="0.25">
      <c r="B26" t="s">
        <v>46</v>
      </c>
      <c r="D26" s="6">
        <v>856524.23</v>
      </c>
      <c r="E26" s="32">
        <f>SUM(D26/C18)</f>
        <v>0.46185116465161824</v>
      </c>
      <c r="H26" s="6">
        <f>SUM(G18*I26)</f>
        <v>907973.98789102561</v>
      </c>
      <c r="I26" s="32">
        <f t="shared" si="2"/>
        <v>0.46185116465161824</v>
      </c>
      <c r="K26" s="6">
        <f t="shared" si="3"/>
        <v>124023.88299440942</v>
      </c>
    </row>
    <row r="27" spans="1:13" x14ac:dyDescent="0.25">
      <c r="B27" t="s">
        <v>47</v>
      </c>
      <c r="D27" s="6">
        <v>979025.66</v>
      </c>
      <c r="E27" s="32">
        <f>SUM(D27/C18)</f>
        <v>0.52790583787083201</v>
      </c>
      <c r="H27" s="6">
        <f>SUM(G18*I27)</f>
        <v>1037833.8424329729</v>
      </c>
      <c r="I27" s="32">
        <f t="shared" si="2"/>
        <v>0.52790583787083201</v>
      </c>
      <c r="K27" s="6">
        <f>H27-H26</f>
        <v>129859.85454194725</v>
      </c>
      <c r="M27" s="6">
        <f>SUM(K25:K27)</f>
        <v>346465.87434954429</v>
      </c>
    </row>
    <row r="28" spans="1:13" x14ac:dyDescent="0.25">
      <c r="B28" t="s">
        <v>48</v>
      </c>
      <c r="D28" s="6">
        <v>1078883.78</v>
      </c>
      <c r="E28" s="32">
        <f>SUM(D28/C18)</f>
        <v>0.58175088673993525</v>
      </c>
      <c r="H28" s="6">
        <f>SUM(G18*I28)</f>
        <v>1143690.247031942</v>
      </c>
      <c r="I28" s="32">
        <f t="shared" si="2"/>
        <v>0.58175088673993525</v>
      </c>
      <c r="K28" s="6">
        <f t="shared" si="3"/>
        <v>105856.40459896915</v>
      </c>
    </row>
    <row r="29" spans="1:13" x14ac:dyDescent="0.25">
      <c r="B29" t="s">
        <v>49</v>
      </c>
      <c r="D29" s="6">
        <v>1245039</v>
      </c>
      <c r="E29" s="32">
        <f>SUM(D29/C18)</f>
        <v>0.67134436136930553</v>
      </c>
      <c r="H29" s="6">
        <f>SUM(G18*I29)</f>
        <v>1319826.0905121793</v>
      </c>
      <c r="I29" s="32">
        <f t="shared" si="2"/>
        <v>0.67134436136930553</v>
      </c>
      <c r="K29" s="6">
        <f>H29-H28</f>
        <v>176135.84348023729</v>
      </c>
    </row>
    <row r="30" spans="1:13" x14ac:dyDescent="0.25">
      <c r="B30" t="s">
        <v>50</v>
      </c>
      <c r="D30" s="19">
        <v>1688447.55</v>
      </c>
      <c r="E30" s="32">
        <f>SUM(D30/C18)</f>
        <v>0.91043713663613635</v>
      </c>
      <c r="H30" s="19">
        <f>SUM(G18*I30)</f>
        <v>1789869.3365841291</v>
      </c>
      <c r="I30" s="32">
        <f>E30</f>
        <v>0.91043713663613635</v>
      </c>
      <c r="K30" s="6">
        <f>H30-H29</f>
        <v>470043.24607194983</v>
      </c>
      <c r="L30" s="6">
        <v>-295000</v>
      </c>
      <c r="M30" s="6">
        <f>SUM(K28:L30)</f>
        <v>457035.49415115628</v>
      </c>
    </row>
    <row r="34" spans="1:11" x14ac:dyDescent="0.25">
      <c r="A34" t="s">
        <v>117</v>
      </c>
    </row>
    <row r="35" spans="1:11" x14ac:dyDescent="0.25">
      <c r="C35" s="6" t="s">
        <v>108</v>
      </c>
      <c r="D35" s="6" t="s">
        <v>123</v>
      </c>
      <c r="E35" s="31" t="s">
        <v>32</v>
      </c>
      <c r="G35" s="20" t="s">
        <v>108</v>
      </c>
      <c r="H35" s="20" t="s">
        <v>124</v>
      </c>
      <c r="I35" s="31" t="s">
        <v>32</v>
      </c>
      <c r="K35" s="6" t="s">
        <v>122</v>
      </c>
    </row>
    <row r="36" spans="1:11" x14ac:dyDescent="0.25">
      <c r="B36" t="s">
        <v>104</v>
      </c>
      <c r="C36" s="6">
        <v>12175720.380000001</v>
      </c>
      <c r="D36" s="6">
        <v>4168625.82</v>
      </c>
      <c r="E36" s="32">
        <f>D36/C36</f>
        <v>0.34237200673953055</v>
      </c>
      <c r="G36" s="6">
        <v>13738745.9</v>
      </c>
      <c r="H36" s="6">
        <f>SUM(G36*I36)</f>
        <v>4703762.0038674977</v>
      </c>
      <c r="I36" s="32">
        <f>E36</f>
        <v>0.34237200673953055</v>
      </c>
      <c r="K36" s="6">
        <v>4703762</v>
      </c>
    </row>
    <row r="38" spans="1:11" x14ac:dyDescent="0.25">
      <c r="B38" t="s">
        <v>105</v>
      </c>
      <c r="C38" s="6">
        <v>12160998.050000001</v>
      </c>
      <c r="D38" s="6">
        <v>6880047.3200000003</v>
      </c>
      <c r="E38" s="32">
        <f>D38/C38</f>
        <v>0.56574693061479442</v>
      </c>
      <c r="G38" s="6">
        <v>13730674.939999999</v>
      </c>
      <c r="H38" s="6">
        <f>SUM(G38*I38)</f>
        <v>7768087.2025744766</v>
      </c>
      <c r="I38" s="32">
        <f>E38</f>
        <v>0.56574693061479442</v>
      </c>
      <c r="K38" s="6">
        <f>H38-H36</f>
        <v>3064325.1987069789</v>
      </c>
    </row>
    <row r="40" spans="1:11" x14ac:dyDescent="0.25">
      <c r="B40" t="s">
        <v>106</v>
      </c>
      <c r="C40" s="6">
        <v>12160998.050000001</v>
      </c>
      <c r="D40" s="6">
        <v>9528494.0800000001</v>
      </c>
      <c r="E40" s="32">
        <f>D40/C40</f>
        <v>0.78352895385917765</v>
      </c>
      <c r="G40" s="6">
        <v>13730674.939999999</v>
      </c>
      <c r="H40" s="6">
        <f>SUM(G40*I40)</f>
        <v>10758381.371518627</v>
      </c>
      <c r="I40" s="32">
        <f>E40</f>
        <v>0.78352895385917765</v>
      </c>
      <c r="K40" s="6">
        <f>H40-H38</f>
        <v>2990294.1689441502</v>
      </c>
    </row>
    <row r="42" spans="1:11" x14ac:dyDescent="0.25">
      <c r="B42" t="s">
        <v>107</v>
      </c>
      <c r="C42" s="6">
        <v>12160998.050000001</v>
      </c>
      <c r="D42" s="6">
        <v>12112781.789999999</v>
      </c>
      <c r="E42" s="32">
        <f>D42/C42</f>
        <v>0.99603517245856299</v>
      </c>
      <c r="G42" s="6">
        <v>13730674.939999999</v>
      </c>
      <c r="H42" s="19">
        <f>SUM(G42*I42)</f>
        <v>13676235.181835368</v>
      </c>
      <c r="I42" s="32">
        <f>E42</f>
        <v>0.99603517245856299</v>
      </c>
      <c r="K42" s="6">
        <f>H42-H40</f>
        <v>2917853.8103167415</v>
      </c>
    </row>
    <row r="43" spans="1:11" x14ac:dyDescent="0.25">
      <c r="K43" s="30">
        <f>SUM(K36:K42)</f>
        <v>13676235.177967871</v>
      </c>
    </row>
  </sheetData>
  <mergeCells count="2">
    <mergeCell ref="C1:E1"/>
    <mergeCell ref="G1:M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03C9-4548-44BA-A5FE-4B8D7E2692F0}">
  <dimension ref="A1:I30"/>
  <sheetViews>
    <sheetView workbookViewId="0">
      <selection activeCell="I10" sqref="I10"/>
    </sheetView>
  </sheetViews>
  <sheetFormatPr defaultRowHeight="15" x14ac:dyDescent="0.25"/>
  <cols>
    <col min="1" max="1" width="5.28515625" customWidth="1"/>
    <col min="2" max="2" width="38.140625" customWidth="1"/>
    <col min="3" max="3" width="16.5703125" customWidth="1"/>
    <col min="7" max="7" width="38.140625" customWidth="1"/>
    <col min="8" max="8" width="14.5703125" customWidth="1"/>
    <col min="9" max="9" width="77" customWidth="1"/>
  </cols>
  <sheetData>
    <row r="1" spans="1:9" s="2" customFormat="1" ht="29.25" customHeight="1" thickTop="1" thickBot="1" x14ac:dyDescent="0.35">
      <c r="B1" s="2" t="s">
        <v>83</v>
      </c>
      <c r="C1" s="5" t="s">
        <v>25</v>
      </c>
      <c r="G1" s="2" t="s">
        <v>84</v>
      </c>
      <c r="H1" s="5" t="s">
        <v>25</v>
      </c>
      <c r="I1" s="2" t="s">
        <v>86</v>
      </c>
    </row>
    <row r="2" spans="1:9" ht="48.75" customHeight="1" thickTop="1" x14ac:dyDescent="0.3">
      <c r="B2" s="1" t="s">
        <v>0</v>
      </c>
      <c r="C2" s="8" t="s">
        <v>98</v>
      </c>
      <c r="G2" s="1" t="s">
        <v>0</v>
      </c>
      <c r="H2" s="8" t="s">
        <v>26</v>
      </c>
    </row>
    <row r="3" spans="1:9" x14ac:dyDescent="0.25">
      <c r="B3" s="2" t="s">
        <v>1</v>
      </c>
      <c r="C3" s="9"/>
      <c r="G3" s="2" t="s">
        <v>1</v>
      </c>
      <c r="H3" s="9"/>
    </row>
    <row r="4" spans="1:9" x14ac:dyDescent="0.25">
      <c r="A4" s="3">
        <v>39</v>
      </c>
      <c r="B4" t="s">
        <v>2</v>
      </c>
      <c r="C4" s="10">
        <v>6382.5</v>
      </c>
      <c r="F4">
        <v>55</v>
      </c>
      <c r="G4" t="s">
        <v>140</v>
      </c>
      <c r="H4" s="36">
        <v>186802</v>
      </c>
      <c r="I4" t="s">
        <v>87</v>
      </c>
    </row>
    <row r="5" spans="1:9" x14ac:dyDescent="0.25">
      <c r="A5" s="3">
        <v>46</v>
      </c>
      <c r="B5" t="s">
        <v>3</v>
      </c>
      <c r="C5" s="10">
        <v>30199.15</v>
      </c>
      <c r="F5" s="3">
        <v>56</v>
      </c>
      <c r="G5" t="s">
        <v>10</v>
      </c>
      <c r="H5" s="37">
        <v>473926</v>
      </c>
      <c r="I5" t="s">
        <v>85</v>
      </c>
    </row>
    <row r="6" spans="1:9" x14ac:dyDescent="0.25">
      <c r="A6" s="3">
        <v>47</v>
      </c>
      <c r="B6" t="s">
        <v>80</v>
      </c>
      <c r="C6" s="10">
        <v>25000</v>
      </c>
      <c r="F6" s="3">
        <v>59</v>
      </c>
      <c r="G6" t="s">
        <v>11</v>
      </c>
      <c r="H6" s="37">
        <v>40015</v>
      </c>
    </row>
    <row r="7" spans="1:9" x14ac:dyDescent="0.25">
      <c r="A7" s="3">
        <v>50</v>
      </c>
      <c r="B7" t="s">
        <v>4</v>
      </c>
      <c r="C7" s="10">
        <v>372757.7</v>
      </c>
      <c r="H7" s="10"/>
    </row>
    <row r="8" spans="1:9" x14ac:dyDescent="0.25">
      <c r="A8" s="3">
        <v>51</v>
      </c>
      <c r="B8" t="s">
        <v>5</v>
      </c>
      <c r="C8" s="10">
        <v>40783</v>
      </c>
      <c r="G8" s="2" t="s">
        <v>14</v>
      </c>
      <c r="H8" s="10"/>
    </row>
    <row r="9" spans="1:9" x14ac:dyDescent="0.25">
      <c r="A9" s="3">
        <v>52</v>
      </c>
      <c r="B9" t="s">
        <v>6</v>
      </c>
      <c r="C9" s="10">
        <v>69849</v>
      </c>
      <c r="F9" s="4">
        <v>13</v>
      </c>
      <c r="G9" t="s">
        <v>20</v>
      </c>
      <c r="H9" s="10">
        <v>983837</v>
      </c>
    </row>
    <row r="10" spans="1:9" ht="15.75" thickBot="1" x14ac:dyDescent="0.3">
      <c r="A10" s="3">
        <v>53</v>
      </c>
      <c r="B10" t="s">
        <v>7</v>
      </c>
      <c r="C10" s="10">
        <v>141947</v>
      </c>
      <c r="H10" s="11"/>
    </row>
    <row r="11" spans="1:9" ht="15.75" thickBot="1" x14ac:dyDescent="0.3">
      <c r="A11" s="3">
        <v>54</v>
      </c>
      <c r="B11" t="s">
        <v>8</v>
      </c>
      <c r="C11" s="10">
        <v>33794</v>
      </c>
      <c r="G11" s="2" t="s">
        <v>24</v>
      </c>
      <c r="H11" s="12">
        <f>SUM(H3:H10)</f>
        <v>1684580</v>
      </c>
    </row>
    <row r="12" spans="1:9" ht="15.75" thickTop="1" x14ac:dyDescent="0.25">
      <c r="A12" s="3">
        <v>55</v>
      </c>
      <c r="B12" t="s">
        <v>9</v>
      </c>
      <c r="C12" s="29">
        <v>186802</v>
      </c>
    </row>
    <row r="13" spans="1:9" x14ac:dyDescent="0.25">
      <c r="A13" s="3">
        <v>56</v>
      </c>
      <c r="B13" t="s">
        <v>10</v>
      </c>
      <c r="C13" s="29">
        <v>473926</v>
      </c>
    </row>
    <row r="14" spans="1:9" x14ac:dyDescent="0.25">
      <c r="A14" s="3">
        <v>59</v>
      </c>
      <c r="B14" t="s">
        <v>11</v>
      </c>
      <c r="C14" s="29">
        <v>40015</v>
      </c>
    </row>
    <row r="15" spans="1:9" x14ac:dyDescent="0.25">
      <c r="A15" s="3">
        <v>60</v>
      </c>
      <c r="B15" t="s">
        <v>12</v>
      </c>
      <c r="C15" s="10">
        <v>65000</v>
      </c>
    </row>
    <row r="16" spans="1:9" x14ac:dyDescent="0.25">
      <c r="A16" s="3">
        <v>63</v>
      </c>
      <c r="B16" t="s">
        <v>13</v>
      </c>
      <c r="C16" s="10">
        <v>7069.21</v>
      </c>
    </row>
    <row r="17" spans="1:3" x14ac:dyDescent="0.25">
      <c r="C17" s="10"/>
    </row>
    <row r="18" spans="1:3" x14ac:dyDescent="0.25">
      <c r="B18" s="2" t="s">
        <v>14</v>
      </c>
      <c r="C18" s="10"/>
    </row>
    <row r="19" spans="1:3" x14ac:dyDescent="0.25">
      <c r="A19" s="4">
        <v>13</v>
      </c>
      <c r="B19" t="s">
        <v>20</v>
      </c>
      <c r="C19" s="10">
        <v>983837</v>
      </c>
    </row>
    <row r="20" spans="1:3" x14ac:dyDescent="0.25">
      <c r="A20" s="4">
        <v>58</v>
      </c>
      <c r="B20" t="s">
        <v>22</v>
      </c>
      <c r="C20" s="10">
        <v>1357</v>
      </c>
    </row>
    <row r="21" spans="1:3" x14ac:dyDescent="0.25">
      <c r="A21" s="4">
        <v>61</v>
      </c>
      <c r="B21" t="s">
        <v>15</v>
      </c>
      <c r="C21" s="10">
        <v>59982</v>
      </c>
    </row>
    <row r="22" spans="1:3" x14ac:dyDescent="0.25">
      <c r="A22" s="4">
        <v>62</v>
      </c>
      <c r="B22" t="s">
        <v>16</v>
      </c>
      <c r="C22" s="10">
        <v>222170</v>
      </c>
    </row>
    <row r="23" spans="1:3" x14ac:dyDescent="0.25">
      <c r="A23" s="4">
        <v>64</v>
      </c>
      <c r="B23" t="s">
        <v>17</v>
      </c>
      <c r="C23" s="10">
        <v>1543</v>
      </c>
    </row>
    <row r="24" spans="1:3" x14ac:dyDescent="0.25">
      <c r="A24" s="4">
        <v>65</v>
      </c>
      <c r="B24" t="s">
        <v>18</v>
      </c>
      <c r="C24" s="10">
        <v>1201</v>
      </c>
    </row>
    <row r="25" spans="1:3" x14ac:dyDescent="0.25">
      <c r="A25" s="4">
        <v>66</v>
      </c>
      <c r="B25" t="s">
        <v>19</v>
      </c>
      <c r="C25" s="10">
        <v>12300</v>
      </c>
    </row>
    <row r="26" spans="1:3" x14ac:dyDescent="0.25">
      <c r="A26" s="4">
        <v>67</v>
      </c>
      <c r="B26" t="s">
        <v>21</v>
      </c>
      <c r="C26" s="10">
        <v>237</v>
      </c>
    </row>
    <row r="27" spans="1:3" x14ac:dyDescent="0.25">
      <c r="A27" s="4">
        <v>69</v>
      </c>
      <c r="B27" t="s">
        <v>23</v>
      </c>
      <c r="C27" s="10">
        <v>29501</v>
      </c>
    </row>
    <row r="28" spans="1:3" ht="15.75" thickBot="1" x14ac:dyDescent="0.3">
      <c r="C28" s="11"/>
    </row>
    <row r="29" spans="1:3" ht="15.75" thickBot="1" x14ac:dyDescent="0.3">
      <c r="B29" s="2" t="s">
        <v>24</v>
      </c>
      <c r="C29" s="12">
        <f>SUM(C3:C28)</f>
        <v>2805652.56</v>
      </c>
    </row>
    <row r="30" spans="1:3" ht="15.75" thickTop="1" x14ac:dyDescent="0.25">
      <c r="B30" s="2"/>
      <c r="C30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36F6-51FF-442F-B29A-3A5465D72033}">
  <dimension ref="A1:L13"/>
  <sheetViews>
    <sheetView workbookViewId="0">
      <selection activeCell="C11" sqref="C11"/>
    </sheetView>
  </sheetViews>
  <sheetFormatPr defaultRowHeight="15" x14ac:dyDescent="0.25"/>
  <cols>
    <col min="1" max="1" width="19.7109375" customWidth="1"/>
    <col min="2" max="2" width="14.7109375" customWidth="1"/>
    <col min="3" max="3" width="2.28515625" customWidth="1"/>
    <col min="4" max="4" width="14.140625" customWidth="1"/>
    <col min="5" max="5" width="1.5703125" customWidth="1"/>
    <col min="6" max="6" width="13.42578125" customWidth="1"/>
    <col min="7" max="7" width="1.5703125" customWidth="1"/>
    <col min="8" max="8" width="14" customWidth="1"/>
    <col min="9" max="9" width="2" customWidth="1"/>
    <col min="10" max="10" width="14.85546875" customWidth="1"/>
    <col min="11" max="11" width="2.28515625" customWidth="1"/>
  </cols>
  <sheetData>
    <row r="1" spans="1:12" x14ac:dyDescent="0.25">
      <c r="B1" s="7" t="s">
        <v>29</v>
      </c>
      <c r="C1" s="7"/>
      <c r="D1" s="7" t="s">
        <v>112</v>
      </c>
      <c r="E1" s="7"/>
      <c r="F1" s="7" t="s">
        <v>113</v>
      </c>
      <c r="G1" s="7"/>
      <c r="H1" s="7" t="s">
        <v>114</v>
      </c>
      <c r="I1" s="7"/>
      <c r="J1" s="7" t="s">
        <v>115</v>
      </c>
      <c r="K1" s="7"/>
      <c r="L1" s="26" t="s">
        <v>116</v>
      </c>
    </row>
    <row r="2" spans="1:12" x14ac:dyDescent="0.25">
      <c r="L2" s="23"/>
    </row>
    <row r="3" spans="1:12" x14ac:dyDescent="0.25">
      <c r="A3" t="s">
        <v>27</v>
      </c>
      <c r="B3" s="6"/>
      <c r="C3" s="6"/>
      <c r="D3" s="6"/>
      <c r="E3" s="6"/>
      <c r="F3" s="6"/>
      <c r="G3" s="6"/>
      <c r="H3" s="6"/>
      <c r="I3" s="6"/>
      <c r="J3" s="6"/>
      <c r="L3" s="23"/>
    </row>
    <row r="4" spans="1:12" x14ac:dyDescent="0.25">
      <c r="B4" s="6"/>
      <c r="C4" s="6"/>
      <c r="D4" s="6"/>
      <c r="E4" s="6"/>
      <c r="F4" s="6"/>
      <c r="G4" s="6"/>
      <c r="H4" s="6"/>
      <c r="I4" s="6"/>
      <c r="J4" s="6"/>
      <c r="L4" s="23"/>
    </row>
    <row r="5" spans="1:12" x14ac:dyDescent="0.25">
      <c r="A5" t="s">
        <v>79</v>
      </c>
      <c r="B5" s="6">
        <v>994498.77</v>
      </c>
      <c r="C5" s="6"/>
      <c r="D5" s="6">
        <v>4968.26</v>
      </c>
      <c r="E5" s="6"/>
      <c r="F5" s="6">
        <v>18730</v>
      </c>
      <c r="G5" s="6"/>
      <c r="H5" s="6">
        <v>200</v>
      </c>
      <c r="I5" s="6"/>
      <c r="J5" s="6">
        <v>44244.76</v>
      </c>
      <c r="L5" s="24">
        <f>SUM(B5:K5)</f>
        <v>1062641.79</v>
      </c>
    </row>
    <row r="6" spans="1:12" x14ac:dyDescent="0.25">
      <c r="B6" s="6"/>
      <c r="C6" s="6"/>
      <c r="D6" s="6"/>
      <c r="E6" s="6"/>
      <c r="F6" s="6"/>
      <c r="G6" s="6"/>
      <c r="H6" s="6"/>
      <c r="I6" s="6"/>
      <c r="J6" s="6"/>
      <c r="L6" s="24"/>
    </row>
    <row r="7" spans="1:12" x14ac:dyDescent="0.25">
      <c r="A7" t="s">
        <v>51</v>
      </c>
      <c r="B7" s="6">
        <v>297815.71999999997</v>
      </c>
      <c r="C7" s="6"/>
      <c r="D7" s="6">
        <v>2345.5</v>
      </c>
      <c r="E7" s="6"/>
      <c r="F7" s="6">
        <v>39903.46</v>
      </c>
      <c r="G7" s="6"/>
      <c r="H7" s="6"/>
      <c r="I7" s="6"/>
      <c r="J7" s="6">
        <v>6826.22</v>
      </c>
      <c r="L7" s="24">
        <f t="shared" ref="L7:L13" si="0">SUM(B7:K7)</f>
        <v>346890.89999999997</v>
      </c>
    </row>
    <row r="8" spans="1:12" x14ac:dyDescent="0.25">
      <c r="B8" s="6"/>
      <c r="C8" s="6"/>
      <c r="D8" s="6"/>
      <c r="E8" s="6"/>
      <c r="F8" s="6"/>
      <c r="G8" s="6"/>
      <c r="H8" s="6"/>
      <c r="I8" s="6"/>
      <c r="J8" s="6"/>
      <c r="L8" s="24"/>
    </row>
    <row r="9" spans="1:12" x14ac:dyDescent="0.25">
      <c r="A9" t="s">
        <v>52</v>
      </c>
      <c r="B9" s="6">
        <v>403294.73</v>
      </c>
      <c r="C9" s="6"/>
      <c r="D9" s="6">
        <v>3211.36</v>
      </c>
      <c r="E9" s="6"/>
      <c r="F9" s="6"/>
      <c r="G9" s="6"/>
      <c r="H9" s="6"/>
      <c r="I9" s="6"/>
      <c r="J9" s="6">
        <v>25855.78</v>
      </c>
      <c r="L9" s="24">
        <f t="shared" si="0"/>
        <v>432361.87</v>
      </c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6"/>
      <c r="L10" s="24"/>
    </row>
    <row r="11" spans="1:12" x14ac:dyDescent="0.25">
      <c r="A11" t="s">
        <v>111</v>
      </c>
      <c r="B11" s="6">
        <v>195000</v>
      </c>
      <c r="C11" s="6"/>
      <c r="D11" s="6"/>
      <c r="E11" s="6"/>
      <c r="F11" s="6"/>
      <c r="G11" s="6"/>
      <c r="H11" s="6"/>
      <c r="I11" s="6"/>
      <c r="J11" s="6"/>
      <c r="L11" s="24">
        <f t="shared" si="0"/>
        <v>195000</v>
      </c>
    </row>
    <row r="12" spans="1:12" ht="15.75" thickBot="1" x14ac:dyDescent="0.3">
      <c r="B12" s="6"/>
      <c r="C12" s="6"/>
      <c r="D12" s="6"/>
      <c r="E12" s="6"/>
      <c r="F12" s="6"/>
      <c r="G12" s="6"/>
      <c r="H12" s="6"/>
      <c r="I12" s="6"/>
      <c r="J12" s="6"/>
      <c r="L12" s="25"/>
    </row>
    <row r="13" spans="1:12" x14ac:dyDescent="0.25">
      <c r="A13" s="21" t="s">
        <v>116</v>
      </c>
      <c r="B13" s="22">
        <f>SUM(B5:B12)</f>
        <v>1890609.22</v>
      </c>
      <c r="C13" s="22"/>
      <c r="D13" s="22">
        <f t="shared" ref="D13:J13" si="1">SUM(D5:D12)</f>
        <v>10525.12</v>
      </c>
      <c r="E13" s="22"/>
      <c r="F13" s="22">
        <f t="shared" si="1"/>
        <v>58633.46</v>
      </c>
      <c r="G13" s="22"/>
      <c r="H13" s="22">
        <f t="shared" si="1"/>
        <v>200</v>
      </c>
      <c r="I13" s="22"/>
      <c r="J13" s="22">
        <f t="shared" si="1"/>
        <v>76926.760000000009</v>
      </c>
      <c r="K13" s="21"/>
      <c r="L13" s="27">
        <f t="shared" si="0"/>
        <v>2036894.56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FY25 Cash Balance</vt:lpstr>
      <vt:lpstr>FY25 Budget Actual Rev &amp; Exp</vt:lpstr>
      <vt:lpstr>General Checking Reserves</vt:lpstr>
      <vt:lpstr>Flood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Bona</dc:creator>
  <cp:lastModifiedBy>Josh Arneson</cp:lastModifiedBy>
  <dcterms:created xsi:type="dcterms:W3CDTF">2024-07-16T18:50:12Z</dcterms:created>
  <dcterms:modified xsi:type="dcterms:W3CDTF">2024-11-09T11:46:14Z</dcterms:modified>
</cp:coreProperties>
</file>