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Finance/Audit FY24/"/>
    </mc:Choice>
  </mc:AlternateContent>
  <xr:revisionPtr revIDLastSave="236" documentId="8_{C57A0A06-DD31-40A1-937C-6D992A44DC31}" xr6:coauthVersionLast="47" xr6:coauthVersionMax="47" xr10:uidLastSave="{08E7F8BA-5616-4ACC-99F3-BE58BBC0B02C}"/>
  <bookViews>
    <workbookView xWindow="-120" yWindow="-120" windowWidth="24240" windowHeight="13140" xr2:uid="{99949702-387D-48AD-B9CB-874A5884587F}"/>
  </bookViews>
  <sheets>
    <sheet name="Summary" sheetId="1" r:id="rId1"/>
    <sheet name="Special Revenue" sheetId="3" r:id="rId2"/>
    <sheet name="Capital Projects" sheetId="7" r:id="rId3"/>
    <sheet name="Permanent" sheetId="11" r:id="rId4"/>
    <sheet name="Fiduciary" sheetId="13" r:id="rId5"/>
  </sheets>
  <definedNames>
    <definedName name="Water_District" localSheetId="4">#REF!</definedName>
    <definedName name="Water_District" localSheetId="3">#REF!</definedName>
    <definedName name="Water_District" localSheetId="1">#REF!</definedName>
    <definedName name="Water_Distri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C63" i="1"/>
  <c r="Q46" i="1"/>
  <c r="Q54" i="1" s="1"/>
  <c r="Q63" i="1" s="1"/>
  <c r="Q67" i="1" s="1"/>
  <c r="C56" i="11"/>
  <c r="E65" i="1"/>
  <c r="C58" i="1"/>
  <c r="C43" i="1"/>
  <c r="C23" i="1"/>
  <c r="C7" i="1"/>
  <c r="C6" i="1"/>
  <c r="C49" i="1"/>
  <c r="C51" i="1" s="1"/>
  <c r="E9" i="1"/>
  <c r="E50" i="1"/>
  <c r="E45" i="1"/>
  <c r="E43" i="1"/>
  <c r="E46" i="1" s="1"/>
  <c r="E42" i="1"/>
  <c r="G8" i="1"/>
  <c r="G27" i="1"/>
  <c r="G28" i="1" s="1"/>
  <c r="G35" i="1" s="1"/>
  <c r="I27" i="1"/>
  <c r="I43" i="1"/>
  <c r="C9" i="11"/>
  <c r="C6" i="11"/>
  <c r="C42" i="11"/>
  <c r="C43" i="11" s="1"/>
  <c r="C37" i="11"/>
  <c r="E37" i="11" s="1"/>
  <c r="C38" i="11"/>
  <c r="C39" i="11" s="1"/>
  <c r="X22" i="7"/>
  <c r="V43" i="7"/>
  <c r="AI10" i="3"/>
  <c r="AC19" i="3"/>
  <c r="AC20" i="3" s="1"/>
  <c r="AC42" i="3"/>
  <c r="AC46" i="3" s="1"/>
  <c r="AC50" i="3"/>
  <c r="AC51" i="3" s="1"/>
  <c r="AA11" i="3"/>
  <c r="O46" i="3"/>
  <c r="E45" i="3"/>
  <c r="AI45" i="3" s="1"/>
  <c r="K45" i="1" s="1"/>
  <c r="E50" i="3"/>
  <c r="E51" i="3" s="1"/>
  <c r="O24" i="1"/>
  <c r="M65" i="1"/>
  <c r="M59" i="1"/>
  <c r="M44" i="1"/>
  <c r="M26" i="1"/>
  <c r="M25" i="1"/>
  <c r="M24" i="1"/>
  <c r="M23" i="1"/>
  <c r="M15" i="1"/>
  <c r="M7" i="1"/>
  <c r="M6" i="1"/>
  <c r="K49" i="1"/>
  <c r="AI7" i="3"/>
  <c r="K7" i="1" s="1"/>
  <c r="I61" i="1"/>
  <c r="I51" i="1"/>
  <c r="I46" i="1"/>
  <c r="G61" i="1"/>
  <c r="G51" i="1"/>
  <c r="G46" i="1"/>
  <c r="G54" i="1" s="1"/>
  <c r="G63" i="1" s="1"/>
  <c r="G67" i="1" s="1"/>
  <c r="E61" i="1"/>
  <c r="E51" i="1"/>
  <c r="I28" i="1"/>
  <c r="I20" i="1"/>
  <c r="I16" i="1"/>
  <c r="I11" i="1"/>
  <c r="C61" i="1"/>
  <c r="C46" i="1"/>
  <c r="G20" i="1"/>
  <c r="E20" i="1"/>
  <c r="C20" i="1"/>
  <c r="G16" i="1"/>
  <c r="E16" i="1"/>
  <c r="C16" i="1"/>
  <c r="G11" i="1"/>
  <c r="E11" i="1"/>
  <c r="H13" i="13"/>
  <c r="X13" i="7"/>
  <c r="X12" i="7"/>
  <c r="M14" i="1" s="1"/>
  <c r="M16" i="1" s="1"/>
  <c r="X7" i="7"/>
  <c r="X6" i="7"/>
  <c r="X20" i="7"/>
  <c r="X19" i="7"/>
  <c r="X18" i="7"/>
  <c r="X17" i="7"/>
  <c r="X8" i="7"/>
  <c r="M10" i="1" s="1"/>
  <c r="V14" i="7"/>
  <c r="V9" i="7"/>
  <c r="T14" i="7"/>
  <c r="T9" i="7"/>
  <c r="R14" i="7"/>
  <c r="R9" i="7"/>
  <c r="P14" i="7"/>
  <c r="P9" i="7"/>
  <c r="N14" i="7"/>
  <c r="N9" i="7"/>
  <c r="L14" i="7"/>
  <c r="L9" i="7"/>
  <c r="J14" i="7"/>
  <c r="J9" i="7"/>
  <c r="H14" i="7"/>
  <c r="H9" i="7"/>
  <c r="F14" i="7"/>
  <c r="F9" i="7"/>
  <c r="D14" i="7"/>
  <c r="D9" i="7"/>
  <c r="X59" i="7"/>
  <c r="X53" i="7"/>
  <c r="X52" i="7"/>
  <c r="X55" i="7" s="1"/>
  <c r="X44" i="7"/>
  <c r="M50" i="1" s="1"/>
  <c r="X43" i="7"/>
  <c r="X45" i="7" s="1"/>
  <c r="X39" i="7"/>
  <c r="X40" i="7" s="1"/>
  <c r="V55" i="7"/>
  <c r="V45" i="7"/>
  <c r="V40" i="7"/>
  <c r="V48" i="7" s="1"/>
  <c r="V57" i="7" s="1"/>
  <c r="V61" i="7" s="1"/>
  <c r="V21" i="7" s="1"/>
  <c r="V22" i="7" s="1"/>
  <c r="V30" i="7" s="1"/>
  <c r="T55" i="7"/>
  <c r="T48" i="7"/>
  <c r="T57" i="7" s="1"/>
  <c r="T61" i="7" s="1"/>
  <c r="T21" i="7" s="1"/>
  <c r="T22" i="7" s="1"/>
  <c r="T30" i="7" s="1"/>
  <c r="T45" i="7"/>
  <c r="T40" i="7"/>
  <c r="R55" i="7"/>
  <c r="R45" i="7"/>
  <c r="R40" i="7"/>
  <c r="R48" i="7" s="1"/>
  <c r="R57" i="7" s="1"/>
  <c r="R61" i="7" s="1"/>
  <c r="R21" i="7" s="1"/>
  <c r="R22" i="7" s="1"/>
  <c r="R30" i="7" s="1"/>
  <c r="P55" i="7"/>
  <c r="P45" i="7"/>
  <c r="P40" i="7"/>
  <c r="P48" i="7" s="1"/>
  <c r="P57" i="7" s="1"/>
  <c r="P61" i="7" s="1"/>
  <c r="P21" i="7" s="1"/>
  <c r="P22" i="7" s="1"/>
  <c r="P30" i="7" s="1"/>
  <c r="N55" i="7"/>
  <c r="N45" i="7"/>
  <c r="N40" i="7"/>
  <c r="L55" i="7"/>
  <c r="L45" i="7"/>
  <c r="L40" i="7"/>
  <c r="L48" i="7" s="1"/>
  <c r="L57" i="7" s="1"/>
  <c r="L61" i="7" s="1"/>
  <c r="L21" i="7" s="1"/>
  <c r="L22" i="7" s="1"/>
  <c r="L30" i="7" s="1"/>
  <c r="J55" i="7"/>
  <c r="J45" i="7"/>
  <c r="J40" i="7"/>
  <c r="J48" i="7" s="1"/>
  <c r="J57" i="7" s="1"/>
  <c r="J61" i="7" s="1"/>
  <c r="J21" i="7" s="1"/>
  <c r="J22" i="7" s="1"/>
  <c r="J30" i="7" s="1"/>
  <c r="H55" i="7"/>
  <c r="H45" i="7"/>
  <c r="H40" i="7"/>
  <c r="F55" i="7"/>
  <c r="F45" i="7"/>
  <c r="F40" i="7"/>
  <c r="F48" i="7" s="1"/>
  <c r="F57" i="7" s="1"/>
  <c r="F61" i="7" s="1"/>
  <c r="F21" i="7" s="1"/>
  <c r="F22" i="7" s="1"/>
  <c r="F30" i="7" s="1"/>
  <c r="D55" i="7"/>
  <c r="D45" i="7"/>
  <c r="D40" i="7"/>
  <c r="D48" i="7" s="1"/>
  <c r="D57" i="7" s="1"/>
  <c r="D61" i="7" s="1"/>
  <c r="D21" i="7" s="1"/>
  <c r="D22" i="7" s="1"/>
  <c r="D30" i="7" s="1"/>
  <c r="AI26" i="3"/>
  <c r="K26" i="1" s="1"/>
  <c r="AI25" i="3"/>
  <c r="K25" i="1" s="1"/>
  <c r="AI24" i="3"/>
  <c r="K24" i="1" s="1"/>
  <c r="AI23" i="3"/>
  <c r="K23" i="1" s="1"/>
  <c r="AI15" i="3"/>
  <c r="K15" i="1" s="1"/>
  <c r="AI14" i="3"/>
  <c r="K14" i="1" s="1"/>
  <c r="K10" i="1"/>
  <c r="AI9" i="3"/>
  <c r="K9" i="1" s="1"/>
  <c r="Q9" i="1" s="1"/>
  <c r="AI8" i="3"/>
  <c r="K8" i="1" s="1"/>
  <c r="AI6" i="3"/>
  <c r="K6" i="1" s="1"/>
  <c r="AG20" i="3"/>
  <c r="AG16" i="3"/>
  <c r="AG11" i="3"/>
  <c r="AE20" i="3"/>
  <c r="AE16" i="3"/>
  <c r="AE11" i="3"/>
  <c r="AC16" i="3"/>
  <c r="AC11" i="3"/>
  <c r="AA20" i="3"/>
  <c r="AA16" i="3"/>
  <c r="Y20" i="3"/>
  <c r="Y16" i="3"/>
  <c r="Y11" i="3"/>
  <c r="W20" i="3"/>
  <c r="W16" i="3"/>
  <c r="W11" i="3"/>
  <c r="U20" i="3"/>
  <c r="U16" i="3"/>
  <c r="U11" i="3"/>
  <c r="S20" i="3"/>
  <c r="S16" i="3"/>
  <c r="S11" i="3"/>
  <c r="Q20" i="3"/>
  <c r="Q16" i="3"/>
  <c r="Q11" i="3"/>
  <c r="O20" i="3"/>
  <c r="O16" i="3"/>
  <c r="O11" i="3"/>
  <c r="M20" i="3"/>
  <c r="M16" i="3"/>
  <c r="M11" i="3"/>
  <c r="K20" i="3"/>
  <c r="K16" i="3"/>
  <c r="K11" i="3"/>
  <c r="I20" i="3"/>
  <c r="I16" i="3"/>
  <c r="I11" i="3"/>
  <c r="G20" i="3"/>
  <c r="G16" i="3"/>
  <c r="G11" i="3"/>
  <c r="AI64" i="3"/>
  <c r="K65" i="1" s="1"/>
  <c r="AI58" i="3"/>
  <c r="K59" i="1" s="1"/>
  <c r="AI57" i="3"/>
  <c r="AI60" i="3" s="1"/>
  <c r="AI49" i="3"/>
  <c r="AI44" i="3"/>
  <c r="K44" i="1" s="1"/>
  <c r="AI43" i="3"/>
  <c r="K43" i="1" s="1"/>
  <c r="AG60" i="3"/>
  <c r="AG51" i="3"/>
  <c r="AG46" i="3"/>
  <c r="AG54" i="3" s="1"/>
  <c r="AG62" i="3" s="1"/>
  <c r="AG66" i="3" s="1"/>
  <c r="AG27" i="3" s="1"/>
  <c r="AG28" i="3" s="1"/>
  <c r="AG31" i="3" s="1"/>
  <c r="AE60" i="3"/>
  <c r="AE51" i="3"/>
  <c r="AE46" i="3"/>
  <c r="AC60" i="3"/>
  <c r="AA60" i="3"/>
  <c r="AA51" i="3"/>
  <c r="AA46" i="3"/>
  <c r="AA54" i="3" s="1"/>
  <c r="AA62" i="3" s="1"/>
  <c r="AA66" i="3" s="1"/>
  <c r="AA27" i="3" s="1"/>
  <c r="AA28" i="3" s="1"/>
  <c r="AA35" i="3" s="1"/>
  <c r="Y60" i="3"/>
  <c r="Y51" i="3"/>
  <c r="Y46" i="3"/>
  <c r="W60" i="3"/>
  <c r="W51" i="3"/>
  <c r="W46" i="3"/>
  <c r="W54" i="3" s="1"/>
  <c r="W62" i="3" s="1"/>
  <c r="W66" i="3" s="1"/>
  <c r="W27" i="3" s="1"/>
  <c r="W28" i="3" s="1"/>
  <c r="W35" i="3" s="1"/>
  <c r="U60" i="3"/>
  <c r="U51" i="3"/>
  <c r="U46" i="3"/>
  <c r="S60" i="3"/>
  <c r="S51" i="3"/>
  <c r="S46" i="3"/>
  <c r="S54" i="3" s="1"/>
  <c r="S62" i="3" s="1"/>
  <c r="S66" i="3" s="1"/>
  <c r="S27" i="3" s="1"/>
  <c r="S28" i="3" s="1"/>
  <c r="S35" i="3" s="1"/>
  <c r="Q60" i="3"/>
  <c r="Q51" i="3"/>
  <c r="Q46" i="3"/>
  <c r="Q54" i="3" s="1"/>
  <c r="Q62" i="3" s="1"/>
  <c r="Q66" i="3" s="1"/>
  <c r="Q27" i="3" s="1"/>
  <c r="Q28" i="3" s="1"/>
  <c r="O60" i="3"/>
  <c r="O51" i="3"/>
  <c r="M60" i="3"/>
  <c r="M51" i="3"/>
  <c r="M46" i="3"/>
  <c r="M54" i="3" s="1"/>
  <c r="M62" i="3" s="1"/>
  <c r="M66" i="3" s="1"/>
  <c r="M27" i="3" s="1"/>
  <c r="M28" i="3" s="1"/>
  <c r="M35" i="3" s="1"/>
  <c r="K60" i="3"/>
  <c r="K51" i="3"/>
  <c r="K46" i="3"/>
  <c r="I60" i="3"/>
  <c r="I51" i="3"/>
  <c r="I46" i="3"/>
  <c r="G60" i="3"/>
  <c r="G51" i="3"/>
  <c r="G46" i="3"/>
  <c r="H54" i="13"/>
  <c r="F50" i="13"/>
  <c r="D50" i="13"/>
  <c r="B50" i="13"/>
  <c r="H48" i="13"/>
  <c r="H47" i="13"/>
  <c r="F41" i="13"/>
  <c r="D41" i="13"/>
  <c r="B41" i="13"/>
  <c r="H40" i="13"/>
  <c r="H41" i="13" s="1"/>
  <c r="F37" i="13"/>
  <c r="F44" i="13" s="1"/>
  <c r="F52" i="13" s="1"/>
  <c r="F56" i="13" s="1"/>
  <c r="F18" i="13" s="1"/>
  <c r="F19" i="13" s="1"/>
  <c r="F26" i="13" s="1"/>
  <c r="D37" i="13"/>
  <c r="B37" i="13"/>
  <c r="H36" i="13"/>
  <c r="H35" i="13"/>
  <c r="H37" i="13" s="1"/>
  <c r="E56" i="11"/>
  <c r="O65" i="1" s="1"/>
  <c r="C52" i="11"/>
  <c r="E52" i="11" s="1"/>
  <c r="E50" i="11"/>
  <c r="O59" i="1" s="1"/>
  <c r="E49" i="11"/>
  <c r="O58" i="1" s="1"/>
  <c r="E36" i="11"/>
  <c r="X38" i="7"/>
  <c r="B55" i="7"/>
  <c r="B45" i="7"/>
  <c r="B40" i="7"/>
  <c r="W29" i="7"/>
  <c r="S29" i="7"/>
  <c r="Q29" i="7"/>
  <c r="O29" i="7"/>
  <c r="E60" i="3"/>
  <c r="C60" i="3"/>
  <c r="C51" i="3"/>
  <c r="E46" i="3"/>
  <c r="C46" i="3"/>
  <c r="Q57" i="1"/>
  <c r="F15" i="13"/>
  <c r="D15" i="13"/>
  <c r="B15" i="13"/>
  <c r="H14" i="13"/>
  <c r="F10" i="13"/>
  <c r="D10" i="13"/>
  <c r="B10" i="13"/>
  <c r="H10" i="13" s="1"/>
  <c r="H9" i="13"/>
  <c r="H8" i="13"/>
  <c r="H7" i="13"/>
  <c r="H6" i="13"/>
  <c r="E21" i="11"/>
  <c r="O26" i="1" s="1"/>
  <c r="E20" i="11"/>
  <c r="O25" i="1" s="1"/>
  <c r="D19" i="11"/>
  <c r="E18" i="11"/>
  <c r="O23" i="1" s="1"/>
  <c r="C15" i="11"/>
  <c r="E14" i="11"/>
  <c r="O15" i="1" s="1"/>
  <c r="E13" i="11"/>
  <c r="O14" i="1" s="1"/>
  <c r="E9" i="11"/>
  <c r="O10" i="1" s="1"/>
  <c r="E8" i="11"/>
  <c r="O8" i="1" s="1"/>
  <c r="E7" i="11"/>
  <c r="O7" i="1" s="1"/>
  <c r="E6" i="11"/>
  <c r="O6" i="1" s="1"/>
  <c r="M29" i="7"/>
  <c r="K29" i="7"/>
  <c r="I29" i="7"/>
  <c r="G29" i="7"/>
  <c r="E29" i="7"/>
  <c r="C29" i="7"/>
  <c r="B14" i="7"/>
  <c r="B9" i="7"/>
  <c r="E20" i="3"/>
  <c r="C20" i="3"/>
  <c r="E16" i="3"/>
  <c r="C16" i="3"/>
  <c r="E11" i="3"/>
  <c r="C11" i="3"/>
  <c r="O20" i="1"/>
  <c r="M20" i="1"/>
  <c r="C11" i="1" l="1"/>
  <c r="E54" i="1"/>
  <c r="E63" i="1" s="1"/>
  <c r="E67" i="1" s="1"/>
  <c r="E27" i="1" s="1"/>
  <c r="E28" i="1" s="1"/>
  <c r="Q43" i="1"/>
  <c r="I54" i="1"/>
  <c r="I63" i="1" s="1"/>
  <c r="I67" i="1" s="1"/>
  <c r="I35" i="1" s="1"/>
  <c r="E42" i="11"/>
  <c r="E43" i="11" s="1"/>
  <c r="E38" i="11"/>
  <c r="O45" i="1" s="1"/>
  <c r="N48" i="7"/>
  <c r="N57" i="7" s="1"/>
  <c r="N61" i="7" s="1"/>
  <c r="N21" i="7" s="1"/>
  <c r="N22" i="7" s="1"/>
  <c r="N30" i="7" s="1"/>
  <c r="M45" i="1"/>
  <c r="M46" i="1" s="1"/>
  <c r="H48" i="7"/>
  <c r="H57" i="7" s="1"/>
  <c r="H61" i="7" s="1"/>
  <c r="H21" i="7" s="1"/>
  <c r="H22" i="7" s="1"/>
  <c r="H30" i="7" s="1"/>
  <c r="M58" i="1"/>
  <c r="M61" i="1" s="1"/>
  <c r="M49" i="1"/>
  <c r="Q59" i="1"/>
  <c r="K58" i="1"/>
  <c r="K61" i="1" s="1"/>
  <c r="Q26" i="1"/>
  <c r="AI42" i="3"/>
  <c r="K42" i="1" s="1"/>
  <c r="Q42" i="1" s="1"/>
  <c r="AG34" i="3"/>
  <c r="AI11" i="3"/>
  <c r="AI16" i="3"/>
  <c r="G54" i="3"/>
  <c r="G62" i="3" s="1"/>
  <c r="G66" i="3" s="1"/>
  <c r="G27" i="3" s="1"/>
  <c r="G28" i="3" s="1"/>
  <c r="G35" i="3" s="1"/>
  <c r="AI19" i="3"/>
  <c r="AI20" i="3" s="1"/>
  <c r="AC54" i="3"/>
  <c r="AC62" i="3" s="1"/>
  <c r="AC66" i="3" s="1"/>
  <c r="AC27" i="3" s="1"/>
  <c r="AC28" i="3" s="1"/>
  <c r="AC35" i="3" s="1"/>
  <c r="Y54" i="3"/>
  <c r="Y62" i="3" s="1"/>
  <c r="Y66" i="3" s="1"/>
  <c r="Y27" i="3" s="1"/>
  <c r="Y28" i="3" s="1"/>
  <c r="Y35" i="3" s="1"/>
  <c r="Q8" i="1"/>
  <c r="Q31" i="3"/>
  <c r="Q34" i="3" s="1"/>
  <c r="Q35" i="3"/>
  <c r="O54" i="3"/>
  <c r="O62" i="3" s="1"/>
  <c r="O66" i="3" s="1"/>
  <c r="O27" i="3" s="1"/>
  <c r="O28" i="3" s="1"/>
  <c r="O35" i="3" s="1"/>
  <c r="K54" i="3"/>
  <c r="K62" i="3" s="1"/>
  <c r="K66" i="3" s="1"/>
  <c r="K27" i="3" s="1"/>
  <c r="K28" i="3" s="1"/>
  <c r="K35" i="3" s="1"/>
  <c r="I54" i="3"/>
  <c r="I62" i="3" s="1"/>
  <c r="I66" i="3" s="1"/>
  <c r="I27" i="3" s="1"/>
  <c r="I28" i="3" s="1"/>
  <c r="I35" i="3" s="1"/>
  <c r="Q10" i="1"/>
  <c r="K46" i="1"/>
  <c r="AI50" i="3"/>
  <c r="K50" i="1" s="1"/>
  <c r="K51" i="1" s="1"/>
  <c r="Q45" i="1"/>
  <c r="O61" i="1"/>
  <c r="O16" i="1"/>
  <c r="Q14" i="1"/>
  <c r="Q25" i="1"/>
  <c r="Q7" i="1"/>
  <c r="Q23" i="1"/>
  <c r="O44" i="1"/>
  <c r="O50" i="1"/>
  <c r="Q65" i="1"/>
  <c r="Q6" i="1"/>
  <c r="P25" i="7"/>
  <c r="P29" i="7" s="1"/>
  <c r="J25" i="7"/>
  <c r="J29" i="7" s="1"/>
  <c r="V25" i="7"/>
  <c r="V29" i="7" s="1"/>
  <c r="D25" i="7"/>
  <c r="D29" i="7" s="1"/>
  <c r="F25" i="7"/>
  <c r="F29" i="7" s="1"/>
  <c r="T25" i="7"/>
  <c r="T29" i="7" s="1"/>
  <c r="L25" i="7"/>
  <c r="L29" i="7" s="1"/>
  <c r="R25" i="7"/>
  <c r="R29" i="7" s="1"/>
  <c r="Q24" i="1"/>
  <c r="AG35" i="3"/>
  <c r="H15" i="13"/>
  <c r="Q15" i="1"/>
  <c r="G31" i="1"/>
  <c r="G34" i="1" s="1"/>
  <c r="I31" i="1"/>
  <c r="I34" i="1" s="1"/>
  <c r="C54" i="1"/>
  <c r="H50" i="13"/>
  <c r="D44" i="13"/>
  <c r="D52" i="13" s="1"/>
  <c r="D56" i="13" s="1"/>
  <c r="D18" i="13" s="1"/>
  <c r="D19" i="13" s="1"/>
  <c r="D26" i="13" s="1"/>
  <c r="B44" i="13"/>
  <c r="B52" i="13" s="1"/>
  <c r="C46" i="11"/>
  <c r="E46" i="11" s="1"/>
  <c r="X48" i="7"/>
  <c r="X57" i="7" s="1"/>
  <c r="X61" i="7" s="1"/>
  <c r="S31" i="3"/>
  <c r="S34" i="3" s="1"/>
  <c r="U54" i="3"/>
  <c r="U62" i="3" s="1"/>
  <c r="U66" i="3" s="1"/>
  <c r="U27" i="3" s="1"/>
  <c r="U28" i="3" s="1"/>
  <c r="O31" i="3"/>
  <c r="O34" i="3" s="1"/>
  <c r="W31" i="3"/>
  <c r="W34" i="3" s="1"/>
  <c r="AA31" i="3"/>
  <c r="AA34" i="3" s="1"/>
  <c r="I31" i="3"/>
  <c r="I34" i="3" s="1"/>
  <c r="M31" i="3"/>
  <c r="M34" i="3" s="1"/>
  <c r="AE54" i="3"/>
  <c r="AE62" i="3" s="1"/>
  <c r="AE66" i="3" s="1"/>
  <c r="AE27" i="3" s="1"/>
  <c r="AE28" i="3" s="1"/>
  <c r="L9" i="13"/>
  <c r="I9" i="11"/>
  <c r="E15" i="11"/>
  <c r="C10" i="11"/>
  <c r="B48" i="7"/>
  <c r="B57" i="7" s="1"/>
  <c r="X9" i="7"/>
  <c r="X14" i="7"/>
  <c r="AI46" i="3"/>
  <c r="C54" i="3"/>
  <c r="E54" i="3"/>
  <c r="E62" i="3" s="1"/>
  <c r="M11" i="1"/>
  <c r="O11" i="1"/>
  <c r="D22" i="13"/>
  <c r="D25" i="13" s="1"/>
  <c r="F22" i="13"/>
  <c r="F25" i="13" s="1"/>
  <c r="K16" i="1"/>
  <c r="Q16" i="1" l="1"/>
  <c r="C27" i="1"/>
  <c r="C28" i="1" s="1"/>
  <c r="C31" i="1" s="1"/>
  <c r="C34" i="1" s="1"/>
  <c r="Q11" i="1"/>
  <c r="E31" i="1"/>
  <c r="E34" i="1" s="1"/>
  <c r="E35" i="1"/>
  <c r="C54" i="11"/>
  <c r="E39" i="11"/>
  <c r="N25" i="7"/>
  <c r="N29" i="7" s="1"/>
  <c r="X30" i="7"/>
  <c r="H25" i="7"/>
  <c r="H29" i="7" s="1"/>
  <c r="Q58" i="1"/>
  <c r="Q61" i="1" s="1"/>
  <c r="Q49" i="1"/>
  <c r="M51" i="1"/>
  <c r="M54" i="1" s="1"/>
  <c r="M63" i="1" s="1"/>
  <c r="M67" i="1" s="1"/>
  <c r="G31" i="3"/>
  <c r="G34" i="3" s="1"/>
  <c r="K31" i="3"/>
  <c r="K34" i="3" s="1"/>
  <c r="K19" i="1"/>
  <c r="Q19" i="1" s="1"/>
  <c r="Q20" i="1" s="1"/>
  <c r="AC31" i="3"/>
  <c r="AC34" i="3" s="1"/>
  <c r="Y31" i="3"/>
  <c r="Y34" i="3" s="1"/>
  <c r="AI51" i="3"/>
  <c r="AI54" i="3" s="1"/>
  <c r="AI62" i="3" s="1"/>
  <c r="AI66" i="3" s="1"/>
  <c r="E66" i="3"/>
  <c r="E27" i="3" s="1"/>
  <c r="Q50" i="1"/>
  <c r="O51" i="1"/>
  <c r="Q44" i="1"/>
  <c r="O46" i="1"/>
  <c r="O54" i="1" s="1"/>
  <c r="O63" i="1" s="1"/>
  <c r="O67" i="1" s="1"/>
  <c r="AE31" i="3"/>
  <c r="AE34" i="3" s="1"/>
  <c r="AE35" i="3"/>
  <c r="U31" i="3"/>
  <c r="U34" i="3" s="1"/>
  <c r="U35" i="3"/>
  <c r="E10" i="11"/>
  <c r="H44" i="13"/>
  <c r="H52" i="13"/>
  <c r="B56" i="13"/>
  <c r="E54" i="11"/>
  <c r="C58" i="11"/>
  <c r="B61" i="7"/>
  <c r="B21" i="7" s="1"/>
  <c r="X21" i="7" s="1"/>
  <c r="M27" i="1" s="1"/>
  <c r="X25" i="7"/>
  <c r="X29" i="7" s="1"/>
  <c r="K20" i="1"/>
  <c r="C62" i="3"/>
  <c r="C66" i="3"/>
  <c r="K11" i="1"/>
  <c r="C35" i="1" l="1"/>
  <c r="Q51" i="1"/>
  <c r="K54" i="1"/>
  <c r="K63" i="1" s="1"/>
  <c r="K67" i="1" s="1"/>
  <c r="AI27" i="3"/>
  <c r="E28" i="3"/>
  <c r="E31" i="3" s="1"/>
  <c r="E34" i="3" s="1"/>
  <c r="H56" i="13"/>
  <c r="B18" i="13"/>
  <c r="H18" i="13" s="1"/>
  <c r="E58" i="11"/>
  <c r="C22" i="11"/>
  <c r="E22" i="11" s="1"/>
  <c r="O27" i="1" s="1"/>
  <c r="B19" i="13"/>
  <c r="B26" i="13" s="1"/>
  <c r="K27" i="1" l="1"/>
  <c r="AI28" i="3"/>
  <c r="Q27" i="1"/>
  <c r="Q28" i="1" s="1"/>
  <c r="E35" i="3"/>
  <c r="C26" i="3"/>
  <c r="H19" i="13"/>
  <c r="H26" i="13" s="1"/>
  <c r="B22" i="13"/>
  <c r="B25" i="13" s="1"/>
  <c r="C23" i="11"/>
  <c r="C30" i="11" s="1"/>
  <c r="B22" i="7"/>
  <c r="B30" i="7" s="1"/>
  <c r="Q35" i="1" l="1"/>
  <c r="E23" i="11"/>
  <c r="E30" i="11" s="1"/>
  <c r="C26" i="11"/>
  <c r="C29" i="11" s="1"/>
  <c r="B25" i="7"/>
  <c r="C28" i="3"/>
  <c r="M28" i="1"/>
  <c r="M35" i="1" s="1"/>
  <c r="O28" i="1"/>
  <c r="O35" i="1" s="1"/>
  <c r="H22" i="13"/>
  <c r="H25" i="13" s="1"/>
  <c r="K28" i="1" l="1"/>
  <c r="K35" i="1" s="1"/>
  <c r="O31" i="1"/>
  <c r="O34" i="1" s="1"/>
  <c r="M31" i="1"/>
  <c r="M34" i="1" s="1"/>
  <c r="C31" i="3"/>
  <c r="C34" i="3" s="1"/>
  <c r="B29" i="7"/>
  <c r="E26" i="11"/>
  <c r="E29" i="11" s="1"/>
  <c r="K31" i="1" l="1"/>
  <c r="K34" i="1" s="1"/>
  <c r="Q31" i="1"/>
  <c r="Q34" i="1" s="1"/>
  <c r="AI31" i="3" l="1"/>
  <c r="AI34" i="3" s="1"/>
  <c r="AI35" i="3"/>
</calcChain>
</file>

<file path=xl/sharedStrings.xml><?xml version="1.0" encoding="utf-8"?>
<sst xmlns="http://schemas.openxmlformats.org/spreadsheetml/2006/main" count="421" uniqueCount="129">
  <si>
    <t>Special</t>
  </si>
  <si>
    <t>Capital</t>
  </si>
  <si>
    <t>Revenue</t>
  </si>
  <si>
    <t>Projects</t>
  </si>
  <si>
    <t>Permanent</t>
  </si>
  <si>
    <t>Governmental</t>
  </si>
  <si>
    <t>Funds</t>
  </si>
  <si>
    <t>ASSETS</t>
  </si>
  <si>
    <t>Cash and cash equivalents</t>
  </si>
  <si>
    <t>Investments</t>
  </si>
  <si>
    <t>Due from other governments</t>
  </si>
  <si>
    <t>Prepaid items</t>
  </si>
  <si>
    <t>Due from other funds</t>
  </si>
  <si>
    <t>TOTAL ASSETS</t>
  </si>
  <si>
    <t>LIABILITIES</t>
  </si>
  <si>
    <t>Accounts payable</t>
  </si>
  <si>
    <t>Due to other funds</t>
  </si>
  <si>
    <t>TOTAL LIABILITIES</t>
  </si>
  <si>
    <t>DEFERRED INFLOWS OF RESOURCES</t>
  </si>
  <si>
    <t>Deferred revenue</t>
  </si>
  <si>
    <t>TOTAL DEFERRED INFLOWS OF RESOURCES</t>
  </si>
  <si>
    <t>FUND BALANCES</t>
  </si>
  <si>
    <t>Nonspendable</t>
  </si>
  <si>
    <t>Restricted</t>
  </si>
  <si>
    <t>Committed</t>
  </si>
  <si>
    <t>Assigned</t>
  </si>
  <si>
    <t>Unassigned</t>
  </si>
  <si>
    <t>TOTAL FUND BALANCES</t>
  </si>
  <si>
    <t>TOTAL LIABILITIES, DEFERRED INFLOWS OF</t>
  </si>
  <si>
    <t>RESOURCES AND FUND BALANCES</t>
  </si>
  <si>
    <t>REVENUES</t>
  </si>
  <si>
    <t>Intergovernmental</t>
  </si>
  <si>
    <t>Charges for services</t>
  </si>
  <si>
    <t>Interest income</t>
  </si>
  <si>
    <t xml:space="preserve">Other </t>
  </si>
  <si>
    <t>TOTAL REVENUES</t>
  </si>
  <si>
    <t>EXPENDITURES</t>
  </si>
  <si>
    <t>Capital outlay</t>
  </si>
  <si>
    <t>Other</t>
  </si>
  <si>
    <t>TOTAL EXPENDITURES</t>
  </si>
  <si>
    <t>EXCESS OF REVENUES OVER</t>
  </si>
  <si>
    <t>(UNDER) EXPENDITURES</t>
  </si>
  <si>
    <t>OTHER FINANCING SOURCES (USES)</t>
  </si>
  <si>
    <t>Debt proceeds</t>
  </si>
  <si>
    <t>Transfers in</t>
  </si>
  <si>
    <t>Transfers (out)</t>
  </si>
  <si>
    <t>TOTAL OTHER FINANCING</t>
  </si>
  <si>
    <t>SOURCES (USES)</t>
  </si>
  <si>
    <t>NET CHANGE IN FUND BALANCES</t>
  </si>
  <si>
    <t>FUND BALANCES - JULY 1</t>
  </si>
  <si>
    <t>FUND BALANCES - JUNE 30</t>
  </si>
  <si>
    <t>Town Hall</t>
  </si>
  <si>
    <t>Records</t>
  </si>
  <si>
    <t>Adam</t>
  </si>
  <si>
    <t>Recreation</t>
  </si>
  <si>
    <t>Water</t>
  </si>
  <si>
    <t>Reappraisal</t>
  </si>
  <si>
    <t>Restoration</t>
  </si>
  <si>
    <t>Muller</t>
  </si>
  <si>
    <t>Path</t>
  </si>
  <si>
    <t>(Soccer/Tennis)</t>
  </si>
  <si>
    <t>Damage</t>
  </si>
  <si>
    <t>Donations</t>
  </si>
  <si>
    <t>Fund</t>
  </si>
  <si>
    <t>Flag Fund</t>
  </si>
  <si>
    <t>ARPA</t>
  </si>
  <si>
    <t>Opioid</t>
  </si>
  <si>
    <t xml:space="preserve">  Investments</t>
  </si>
  <si>
    <t>Tree</t>
  </si>
  <si>
    <t>Richmond</t>
  </si>
  <si>
    <t>Lister</t>
  </si>
  <si>
    <t>Andrews</t>
  </si>
  <si>
    <t>Replacement</t>
  </si>
  <si>
    <t>Fire Dept</t>
  </si>
  <si>
    <t>Free Library</t>
  </si>
  <si>
    <t>Education</t>
  </si>
  <si>
    <t>Grants</t>
  </si>
  <si>
    <t>Community</t>
  </si>
  <si>
    <t>Legal</t>
  </si>
  <si>
    <t>Forest Fund</t>
  </si>
  <si>
    <t>Total</t>
  </si>
  <si>
    <t>Fire Safety</t>
  </si>
  <si>
    <t>Police</t>
  </si>
  <si>
    <t>Library</t>
  </si>
  <si>
    <t>Fire</t>
  </si>
  <si>
    <t>Sidewalk</t>
  </si>
  <si>
    <t>Equipment</t>
  </si>
  <si>
    <t>Reserve</t>
  </si>
  <si>
    <t>Impact Fees</t>
  </si>
  <si>
    <t>TOTAL LIABILITIES AND FUND</t>
  </si>
  <si>
    <t>BALANCES</t>
  </si>
  <si>
    <t>Highway</t>
  </si>
  <si>
    <t>Bridge and</t>
  </si>
  <si>
    <t>Guardrail</t>
  </si>
  <si>
    <t>Railroad</t>
  </si>
  <si>
    <t>Culvert</t>
  </si>
  <si>
    <t>Street Project</t>
  </si>
  <si>
    <t>Conservation</t>
  </si>
  <si>
    <t>Reserve Fund</t>
  </si>
  <si>
    <t>TOTAL OTHER FINANCING SOURCES</t>
  </si>
  <si>
    <t>(USES)</t>
  </si>
  <si>
    <t>Cemetery</t>
  </si>
  <si>
    <t xml:space="preserve">  Due from other governments</t>
  </si>
  <si>
    <t xml:space="preserve">TOTAL LIABILITIES AND </t>
  </si>
  <si>
    <t>Edmunds</t>
  </si>
  <si>
    <t>Shanyon</t>
  </si>
  <si>
    <t>Trust</t>
  </si>
  <si>
    <t>Athletic</t>
  </si>
  <si>
    <t>NET POSITION</t>
  </si>
  <si>
    <t>TOTAL NET POSITION</t>
  </si>
  <si>
    <t>ADDITIONS</t>
  </si>
  <si>
    <t>Investment earnings:</t>
  </si>
  <si>
    <t>DEDUCTIONS</t>
  </si>
  <si>
    <t>NET POSTION - JULY 1</t>
  </si>
  <si>
    <t>NET POSITION - JUNE 30</t>
  </si>
  <si>
    <t xml:space="preserve">General </t>
  </si>
  <si>
    <t xml:space="preserve">Community </t>
  </si>
  <si>
    <t>Development</t>
  </si>
  <si>
    <t>Town Center</t>
  </si>
  <si>
    <t xml:space="preserve">TOWN OF RICHMOND, VERMONT </t>
  </si>
  <si>
    <t>SUMMARY SCHEDULE OF ALL GOVERNMENTAL FUNDS</t>
  </si>
  <si>
    <t>YEAR END JUNE 30, 2024</t>
  </si>
  <si>
    <t xml:space="preserve">SCHEDULE OF NON MAJOR SPECIAL REVENUE FUNDS </t>
  </si>
  <si>
    <t xml:space="preserve">SCHEDULE OF NON MAJOR CAPITAL PROJECT FUNDS </t>
  </si>
  <si>
    <t xml:space="preserve">SCHEDULE OF NON MAJOR PERMANENT FUND </t>
  </si>
  <si>
    <t xml:space="preserve">SCHEDULE OF NON MAJOR FIDUCIARY FUNDS </t>
  </si>
  <si>
    <t xml:space="preserve">YEAR END JUNE 30, 2024 </t>
  </si>
  <si>
    <t>68 | 66</t>
  </si>
  <si>
    <t>Accounts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</si>
</sst>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41" fontId="2" fillId="0" borderId="0" xfId="0" applyNumberFormat="1" applyFont="1"/>
    <xf numFmtId="41" fontId="2" fillId="0" borderId="1" xfId="0" applyNumberFormat="1" applyFont="1" applyBorder="1"/>
    <xf numFmtId="42" fontId="2" fillId="0" borderId="2" xfId="0" applyNumberFormat="1" applyFont="1" applyBorder="1"/>
    <xf numFmtId="41" fontId="2" fillId="0" borderId="3" xfId="0" applyNumberFormat="1" applyFont="1" applyBorder="1"/>
    <xf numFmtId="0" fontId="2" fillId="2" borderId="0" xfId="0" applyFont="1" applyFill="1"/>
    <xf numFmtId="42" fontId="2" fillId="2" borderId="0" xfId="0" applyNumberFormat="1" applyFont="1" applyFill="1"/>
    <xf numFmtId="42" fontId="2" fillId="0" borderId="4" xfId="0" applyNumberFormat="1" applyFont="1" applyBorder="1"/>
    <xf numFmtId="42" fontId="2" fillId="0" borderId="1" xfId="0" applyNumberFormat="1" applyFont="1" applyBorder="1"/>
    <xf numFmtId="0" fontId="2" fillId="0" borderId="0" xfId="0" applyFont="1" applyAlignment="1">
      <alignment horizontal="left" indent="2"/>
    </xf>
    <xf numFmtId="42" fontId="3" fillId="0" borderId="0" xfId="0" applyNumberFormat="1" applyFont="1"/>
    <xf numFmtId="164" fontId="2" fillId="0" borderId="2" xfId="1" applyNumberFormat="1" applyFont="1" applyFill="1" applyBorder="1"/>
    <xf numFmtId="43" fontId="2" fillId="0" borderId="0" xfId="2" applyFont="1" applyFill="1" applyBorder="1" applyAlignment="1">
      <alignment horizontal="center"/>
    </xf>
    <xf numFmtId="43" fontId="2" fillId="0" borderId="1" xfId="2" applyFont="1" applyBorder="1" applyAlignment="1">
      <alignment horizontal="center" wrapText="1"/>
    </xf>
    <xf numFmtId="41" fontId="3" fillId="0" borderId="0" xfId="0" applyNumberFormat="1" applyFont="1"/>
    <xf numFmtId="0" fontId="4" fillId="0" borderId="0" xfId="0" applyFont="1" applyAlignment="1">
      <alignment horizontal="center"/>
    </xf>
  </cellXfs>
  <cellStyles count="3">
    <cellStyle name="Comma 3" xfId="2" xr:uid="{254EC4BB-DEFE-4256-B87C-DCE66DCC09AB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73C4-0AAC-4E5A-9A34-E7CCB261B9FC}">
  <sheetPr>
    <tabColor rgb="FF002060"/>
    <pageSetUpPr fitToPage="1"/>
  </sheetPr>
  <dimension ref="A1:Y74"/>
  <sheetViews>
    <sheetView showGridLines="0" tabSelected="1" zoomScale="80" zoomScaleNormal="8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C68" sqref="C68"/>
    </sheetView>
  </sheetViews>
  <sheetFormatPr defaultColWidth="9.140625" defaultRowHeight="15.75" x14ac:dyDescent="0.25"/>
  <cols>
    <col min="1" max="1" width="52" style="1" customWidth="1"/>
    <col min="2" max="2" width="1.7109375" style="1" customWidth="1"/>
    <col min="3" max="3" width="16.140625" style="1" customWidth="1"/>
    <col min="4" max="4" width="0.85546875" style="1" customWidth="1"/>
    <col min="5" max="5" width="16.140625" style="1" customWidth="1"/>
    <col min="6" max="6" width="0.85546875" style="1" customWidth="1"/>
    <col min="7" max="7" width="16.140625" style="1" customWidth="1"/>
    <col min="8" max="8" width="0.85546875" style="1" customWidth="1"/>
    <col min="9" max="9" width="16.140625" style="1" customWidth="1"/>
    <col min="10" max="10" width="0.85546875" style="1" customWidth="1"/>
    <col min="11" max="11" width="16.140625" style="1" customWidth="1"/>
    <col min="12" max="12" width="0.85546875" style="1" customWidth="1"/>
    <col min="13" max="13" width="16.140625" style="1" customWidth="1"/>
    <col min="14" max="14" width="0.85546875" style="1" customWidth="1"/>
    <col min="15" max="15" width="16.140625" style="1" customWidth="1"/>
    <col min="16" max="16" width="0.85546875" style="1" customWidth="1"/>
    <col min="17" max="17" width="16.7109375" style="1" customWidth="1"/>
    <col min="18" max="18" width="1.140625" style="1" customWidth="1"/>
    <col min="19" max="20" width="9.140625" style="1"/>
    <col min="21" max="21" width="11.42578125" style="1" customWidth="1"/>
    <col min="22" max="22" width="9.140625" style="1"/>
    <col min="23" max="23" width="11" style="1" bestFit="1" customWidth="1"/>
    <col min="24" max="24" width="9.140625" style="1"/>
    <col min="25" max="25" width="11" style="1" bestFit="1" customWidth="1"/>
    <col min="26" max="16384" width="9.140625" style="1"/>
  </cols>
  <sheetData>
    <row r="1" spans="1:25" x14ac:dyDescent="0.25">
      <c r="A1" s="1" t="s">
        <v>119</v>
      </c>
    </row>
    <row r="2" spans="1:25" x14ac:dyDescent="0.25">
      <c r="A2" s="1" t="s">
        <v>120</v>
      </c>
      <c r="C2" s="2"/>
      <c r="D2" s="2"/>
      <c r="E2" s="2"/>
      <c r="F2" s="2"/>
      <c r="G2" s="2" t="s">
        <v>116</v>
      </c>
      <c r="H2" s="2"/>
      <c r="I2" s="2" t="s">
        <v>118</v>
      </c>
      <c r="J2" s="2"/>
      <c r="K2" s="2" t="s">
        <v>0</v>
      </c>
      <c r="L2" s="2"/>
      <c r="M2" s="2" t="s">
        <v>1</v>
      </c>
      <c r="N2" s="2"/>
      <c r="O2" s="2"/>
      <c r="P2" s="2"/>
      <c r="Q2" s="2" t="s">
        <v>80</v>
      </c>
    </row>
    <row r="3" spans="1:25" x14ac:dyDescent="0.25">
      <c r="A3" s="1" t="s">
        <v>121</v>
      </c>
      <c r="C3" s="2" t="s">
        <v>115</v>
      </c>
      <c r="D3" s="2"/>
      <c r="E3" s="2" t="s">
        <v>91</v>
      </c>
      <c r="F3" s="2"/>
      <c r="G3" s="2" t="s">
        <v>117</v>
      </c>
      <c r="H3" s="2"/>
      <c r="I3" s="2" t="s">
        <v>87</v>
      </c>
      <c r="J3" s="2"/>
      <c r="K3" s="2" t="s">
        <v>2</v>
      </c>
      <c r="L3" s="2"/>
      <c r="M3" s="2" t="s">
        <v>3</v>
      </c>
      <c r="N3" s="2"/>
      <c r="O3" s="2" t="s">
        <v>4</v>
      </c>
      <c r="P3" s="2"/>
      <c r="Q3" s="2" t="s">
        <v>5</v>
      </c>
    </row>
    <row r="4" spans="1:25" x14ac:dyDescent="0.25">
      <c r="C4" s="3" t="s">
        <v>63</v>
      </c>
      <c r="D4" s="2"/>
      <c r="E4" s="3" t="s">
        <v>63</v>
      </c>
      <c r="F4" s="2"/>
      <c r="G4" s="3" t="s">
        <v>63</v>
      </c>
      <c r="H4" s="2"/>
      <c r="I4" s="3" t="s">
        <v>63</v>
      </c>
      <c r="J4" s="2"/>
      <c r="K4" s="3" t="s">
        <v>6</v>
      </c>
      <c r="L4" s="2"/>
      <c r="M4" s="3" t="s">
        <v>6</v>
      </c>
      <c r="N4" s="2"/>
      <c r="O4" s="3" t="s">
        <v>6</v>
      </c>
      <c r="P4" s="2"/>
      <c r="Q4" s="3" t="s">
        <v>6</v>
      </c>
    </row>
    <row r="5" spans="1:25" x14ac:dyDescent="0.25">
      <c r="A5" s="1" t="s">
        <v>7</v>
      </c>
    </row>
    <row r="6" spans="1:25" x14ac:dyDescent="0.25">
      <c r="A6" s="4" t="s">
        <v>8</v>
      </c>
      <c r="C6" s="5">
        <f>1667530.6+500</f>
        <v>1668030.6</v>
      </c>
      <c r="D6" s="5"/>
      <c r="E6" s="5">
        <v>0</v>
      </c>
      <c r="F6" s="5"/>
      <c r="G6" s="5">
        <v>0</v>
      </c>
      <c r="H6" s="5"/>
      <c r="I6" s="5">
        <v>277880.65999999997</v>
      </c>
      <c r="J6" s="5"/>
      <c r="K6" s="5">
        <f>'Special Revenue'!AI6</f>
        <v>15703.98</v>
      </c>
      <c r="L6" s="5"/>
      <c r="M6" s="5">
        <f>'Capital Projects'!X6</f>
        <v>0</v>
      </c>
      <c r="N6" s="5"/>
      <c r="O6" s="5">
        <f>Permanent!E6</f>
        <v>151870.17000000001</v>
      </c>
      <c r="P6" s="5"/>
      <c r="Q6" s="5">
        <f>SUM(C6:O6)</f>
        <v>2113485.41</v>
      </c>
    </row>
    <row r="7" spans="1:25" x14ac:dyDescent="0.25">
      <c r="A7" s="4" t="s">
        <v>9</v>
      </c>
      <c r="C7" s="6">
        <f>1254315.07+752961.26+508221.34</f>
        <v>2515497.67</v>
      </c>
      <c r="D7" s="6"/>
      <c r="E7" s="6">
        <v>0</v>
      </c>
      <c r="F7" s="6"/>
      <c r="G7" s="6">
        <v>0</v>
      </c>
      <c r="H7" s="6"/>
      <c r="I7" s="6">
        <v>0</v>
      </c>
      <c r="J7" s="6"/>
      <c r="K7" s="6">
        <f>'Special Revenue'!AI7</f>
        <v>0</v>
      </c>
      <c r="L7" s="6"/>
      <c r="M7" s="6">
        <f>'Capital Projects'!X7</f>
        <v>0</v>
      </c>
      <c r="N7" s="6"/>
      <c r="O7" s="6">
        <f>Permanent!E7</f>
        <v>0</v>
      </c>
      <c r="P7" s="6"/>
      <c r="Q7" s="6">
        <f t="shared" ref="Q7:Q10" si="0">SUM(C7:O7)</f>
        <v>2515497.67</v>
      </c>
    </row>
    <row r="8" spans="1:25" x14ac:dyDescent="0.25">
      <c r="A8" s="4" t="s">
        <v>128</v>
      </c>
      <c r="C8" s="6">
        <v>431158.58</v>
      </c>
      <c r="D8" s="6"/>
      <c r="E8" s="6">
        <v>0</v>
      </c>
      <c r="F8" s="6"/>
      <c r="G8" s="6">
        <f>412500-103872</f>
        <v>308628</v>
      </c>
      <c r="H8" s="6"/>
      <c r="I8" s="6">
        <v>0</v>
      </c>
      <c r="J8" s="6"/>
      <c r="K8" s="6">
        <f>'Special Revenue'!AI8</f>
        <v>3558.21</v>
      </c>
      <c r="L8" s="6"/>
      <c r="M8" s="6">
        <v>0</v>
      </c>
      <c r="N8" s="6"/>
      <c r="O8" s="6">
        <f>Permanent!E8</f>
        <v>0</v>
      </c>
      <c r="P8" s="6"/>
      <c r="Q8" s="6">
        <f t="shared" si="0"/>
        <v>743344.79</v>
      </c>
    </row>
    <row r="9" spans="1:25" x14ac:dyDescent="0.25">
      <c r="A9" s="4" t="s">
        <v>11</v>
      </c>
      <c r="C9" s="6">
        <v>67121.119999999995</v>
      </c>
      <c r="D9" s="6"/>
      <c r="E9" s="6">
        <f>5309.11+197.15</f>
        <v>5506.2599999999993</v>
      </c>
      <c r="F9" s="6"/>
      <c r="G9" s="6">
        <v>0</v>
      </c>
      <c r="H9" s="6"/>
      <c r="I9" s="6">
        <v>0</v>
      </c>
      <c r="J9" s="6"/>
      <c r="K9" s="6">
        <f>'Special Revenue'!AI9</f>
        <v>532.5</v>
      </c>
      <c r="L9" s="6"/>
      <c r="M9" s="6">
        <v>0</v>
      </c>
      <c r="N9" s="6"/>
      <c r="O9" s="6">
        <v>0</v>
      </c>
      <c r="P9" s="6"/>
      <c r="Q9" s="6">
        <f t="shared" si="0"/>
        <v>73159.87999999999</v>
      </c>
    </row>
    <row r="10" spans="1:25" x14ac:dyDescent="0.25">
      <c r="A10" s="4" t="s">
        <v>12</v>
      </c>
      <c r="C10" s="7">
        <v>0</v>
      </c>
      <c r="D10" s="6"/>
      <c r="E10" s="7">
        <v>714116.8</v>
      </c>
      <c r="F10" s="6"/>
      <c r="G10" s="7">
        <v>0</v>
      </c>
      <c r="H10" s="6"/>
      <c r="I10" s="7">
        <v>0</v>
      </c>
      <c r="J10" s="6"/>
      <c r="K10" s="7">
        <f>'Special Revenue'!AI10</f>
        <v>1515601.75</v>
      </c>
      <c r="L10" s="6"/>
      <c r="M10" s="7">
        <f>'Capital Projects'!X8</f>
        <v>1017022.6299999999</v>
      </c>
      <c r="N10" s="6"/>
      <c r="O10" s="7">
        <f>Permanent!E9</f>
        <v>300</v>
      </c>
      <c r="P10" s="6"/>
      <c r="Q10" s="7">
        <f t="shared" si="0"/>
        <v>3247041.1799999997</v>
      </c>
      <c r="W10" s="6"/>
      <c r="Y10" s="6"/>
    </row>
    <row r="11" spans="1:25" ht="16.5" thickBot="1" x14ac:dyDescent="0.3">
      <c r="A11" s="1" t="s">
        <v>13</v>
      </c>
      <c r="C11" s="8">
        <f>SUM(C6:C10)</f>
        <v>4681807.97</v>
      </c>
      <c r="D11" s="5"/>
      <c r="E11" s="8">
        <f>SUM(E6:E10)</f>
        <v>719623.06</v>
      </c>
      <c r="F11" s="5"/>
      <c r="G11" s="8">
        <f>SUM(G6:G10)</f>
        <v>308628</v>
      </c>
      <c r="H11" s="5"/>
      <c r="I11" s="8">
        <f>SUM(I6:I10)</f>
        <v>277880.65999999997</v>
      </c>
      <c r="J11" s="5"/>
      <c r="K11" s="8">
        <f>SUM(K6:K10)</f>
        <v>1535396.44</v>
      </c>
      <c r="L11" s="5"/>
      <c r="M11" s="8">
        <f>SUM(M6:M10)</f>
        <v>1017022.6299999999</v>
      </c>
      <c r="N11" s="5"/>
      <c r="O11" s="8">
        <f>SUM(O6:O10)</f>
        <v>152170.17000000001</v>
      </c>
      <c r="P11" s="5"/>
      <c r="Q11" s="8">
        <f>SUM(Q6:Q10)</f>
        <v>8692528.9299999997</v>
      </c>
    </row>
    <row r="12" spans="1:25" ht="16.5" thickTop="1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5" x14ac:dyDescent="0.25">
      <c r="A13" s="1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25" x14ac:dyDescent="0.25">
      <c r="A14" s="4" t="s">
        <v>15</v>
      </c>
      <c r="C14" s="5">
        <v>145358.03</v>
      </c>
      <c r="D14" s="5"/>
      <c r="E14" s="5">
        <v>373994.36</v>
      </c>
      <c r="F14" s="5"/>
      <c r="G14" s="5">
        <v>0</v>
      </c>
      <c r="H14" s="5"/>
      <c r="I14" s="5">
        <v>1283.93</v>
      </c>
      <c r="J14" s="5"/>
      <c r="K14" s="5">
        <f>'Special Revenue'!AI14</f>
        <v>12442.27</v>
      </c>
      <c r="L14" s="5"/>
      <c r="M14" s="5">
        <f>'Capital Projects'!X12</f>
        <v>3177.51</v>
      </c>
      <c r="N14" s="5"/>
      <c r="O14" s="5">
        <f>Permanent!E13</f>
        <v>0</v>
      </c>
      <c r="P14" s="5"/>
      <c r="Q14" s="5">
        <f t="shared" ref="Q14:Q15" si="1">SUM(C14:O14)</f>
        <v>536256.1</v>
      </c>
    </row>
    <row r="15" spans="1:25" x14ac:dyDescent="0.25">
      <c r="A15" s="4" t="s">
        <v>16</v>
      </c>
      <c r="C15" s="7">
        <v>3250961.35</v>
      </c>
      <c r="D15" s="6"/>
      <c r="E15" s="7">
        <v>0</v>
      </c>
      <c r="F15" s="6"/>
      <c r="G15" s="7">
        <v>0</v>
      </c>
      <c r="H15" s="6"/>
      <c r="I15" s="7">
        <v>10416.27</v>
      </c>
      <c r="J15" s="6"/>
      <c r="K15" s="7">
        <f>'Special Revenue'!AI15</f>
        <v>0</v>
      </c>
      <c r="L15" s="6"/>
      <c r="M15" s="7">
        <f>'Capital Projects'!X13</f>
        <v>0</v>
      </c>
      <c r="N15" s="6"/>
      <c r="O15" s="7">
        <f>Permanent!E14</f>
        <v>0</v>
      </c>
      <c r="P15" s="6"/>
      <c r="Q15" s="7">
        <f t="shared" si="1"/>
        <v>3261377.62</v>
      </c>
      <c r="U15" s="6"/>
    </row>
    <row r="16" spans="1:25" x14ac:dyDescent="0.25">
      <c r="A16" s="1" t="s">
        <v>17</v>
      </c>
      <c r="C16" s="9">
        <f>SUM(C14:C15)</f>
        <v>3396319.38</v>
      </c>
      <c r="D16" s="6"/>
      <c r="E16" s="9">
        <f>SUM(E14:E15)</f>
        <v>373994.36</v>
      </c>
      <c r="F16" s="6"/>
      <c r="G16" s="9">
        <f>SUM(G14:G15)</f>
        <v>0</v>
      </c>
      <c r="H16" s="6"/>
      <c r="I16" s="9">
        <f>SUM(I14:I15)</f>
        <v>11700.2</v>
      </c>
      <c r="J16" s="6"/>
      <c r="K16" s="9">
        <f>SUM(K14:K15)</f>
        <v>12442.27</v>
      </c>
      <c r="L16" s="6"/>
      <c r="M16" s="9">
        <f>SUM(M14:M15)</f>
        <v>3177.51</v>
      </c>
      <c r="N16" s="6"/>
      <c r="O16" s="9">
        <f>SUM(O14:O15)</f>
        <v>0</v>
      </c>
      <c r="P16" s="6"/>
      <c r="Q16" s="9">
        <f>SUM(Q14:Q15)</f>
        <v>3797633.72</v>
      </c>
    </row>
    <row r="17" spans="1:18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x14ac:dyDescent="0.25">
      <c r="A18" s="1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8" x14ac:dyDescent="0.25">
      <c r="A19" s="4" t="s">
        <v>19</v>
      </c>
      <c r="C19" s="6">
        <v>42883.34</v>
      </c>
      <c r="D19" s="6"/>
      <c r="E19" s="6">
        <v>0</v>
      </c>
      <c r="F19" s="6"/>
      <c r="G19" s="6">
        <v>308628</v>
      </c>
      <c r="H19" s="6"/>
      <c r="I19" s="6">
        <v>0</v>
      </c>
      <c r="J19" s="6"/>
      <c r="K19" s="6">
        <f>'Special Revenue'!AI19</f>
        <v>1411913.24</v>
      </c>
      <c r="L19" s="6"/>
      <c r="M19" s="6">
        <v>0</v>
      </c>
      <c r="N19" s="6"/>
      <c r="O19" s="6">
        <v>0</v>
      </c>
      <c r="P19" s="6"/>
      <c r="Q19" s="6">
        <f>SUM(C19:O19)</f>
        <v>1763424.58</v>
      </c>
    </row>
    <row r="20" spans="1:18" x14ac:dyDescent="0.25">
      <c r="A20" s="1" t="s">
        <v>20</v>
      </c>
      <c r="C20" s="9">
        <f>C19</f>
        <v>42883.34</v>
      </c>
      <c r="D20" s="6"/>
      <c r="E20" s="9">
        <f>E19</f>
        <v>0</v>
      </c>
      <c r="F20" s="6"/>
      <c r="G20" s="9">
        <f t="shared" ref="G20" si="2">G19</f>
        <v>308628</v>
      </c>
      <c r="H20" s="6"/>
      <c r="I20" s="9">
        <f>I19</f>
        <v>0</v>
      </c>
      <c r="J20" s="6"/>
      <c r="K20" s="9">
        <f>K19</f>
        <v>1411913.24</v>
      </c>
      <c r="L20" s="6"/>
      <c r="M20" s="9">
        <f>M19</f>
        <v>0</v>
      </c>
      <c r="N20" s="6"/>
      <c r="O20" s="9">
        <f t="shared" ref="O20" si="3">O19</f>
        <v>0</v>
      </c>
      <c r="P20" s="6"/>
      <c r="Q20" s="9">
        <f>Q19</f>
        <v>1763424.58</v>
      </c>
      <c r="R20" s="6"/>
    </row>
    <row r="21" spans="1:18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8" x14ac:dyDescent="0.25">
      <c r="A22" s="1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8" x14ac:dyDescent="0.25">
      <c r="A23" s="4" t="s">
        <v>22</v>
      </c>
      <c r="C23" s="6">
        <f>C9</f>
        <v>67121.119999999995</v>
      </c>
      <c r="D23" s="6"/>
      <c r="E23" s="6">
        <v>5506</v>
      </c>
      <c r="F23" s="6"/>
      <c r="G23" s="6">
        <v>0</v>
      </c>
      <c r="H23" s="6"/>
      <c r="I23" s="6">
        <v>0</v>
      </c>
      <c r="J23" s="6"/>
      <c r="K23" s="6">
        <f>'Special Revenue'!AI23</f>
        <v>0</v>
      </c>
      <c r="L23" s="6"/>
      <c r="M23" s="6">
        <f>'Capital Projects'!X17</f>
        <v>0</v>
      </c>
      <c r="N23" s="6"/>
      <c r="O23" s="6">
        <f>Permanent!E18</f>
        <v>0</v>
      </c>
      <c r="P23" s="6"/>
      <c r="Q23" s="6">
        <f t="shared" ref="Q23:Q27" si="4">SUM(C23:O23)</f>
        <v>72627.12</v>
      </c>
    </row>
    <row r="24" spans="1:18" x14ac:dyDescent="0.25">
      <c r="A24" s="4" t="s">
        <v>23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f>'Special Revenue'!AI24</f>
        <v>0</v>
      </c>
      <c r="L24" s="6"/>
      <c r="M24" s="6">
        <f>'Capital Projects'!X18</f>
        <v>0</v>
      </c>
      <c r="N24" s="6"/>
      <c r="O24" s="6">
        <f>Permanent!E19</f>
        <v>0</v>
      </c>
      <c r="P24" s="6"/>
      <c r="Q24" s="6">
        <f t="shared" si="4"/>
        <v>0</v>
      </c>
    </row>
    <row r="25" spans="1:18" x14ac:dyDescent="0.25">
      <c r="A25" s="4" t="s">
        <v>24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f>'Special Revenue'!AI25</f>
        <v>0</v>
      </c>
      <c r="L25" s="6"/>
      <c r="M25" s="6">
        <f>'Capital Projects'!X19</f>
        <v>0</v>
      </c>
      <c r="N25" s="6"/>
      <c r="O25" s="6">
        <f>Permanent!E20</f>
        <v>0</v>
      </c>
      <c r="P25" s="6"/>
      <c r="Q25" s="6">
        <f t="shared" si="4"/>
        <v>0</v>
      </c>
    </row>
    <row r="26" spans="1:18" x14ac:dyDescent="0.25">
      <c r="A26" s="4" t="s">
        <v>25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f>'Special Revenue'!AI26</f>
        <v>0</v>
      </c>
      <c r="L26" s="6"/>
      <c r="M26" s="6">
        <f>'Capital Projects'!X20</f>
        <v>0</v>
      </c>
      <c r="N26" s="6"/>
      <c r="O26" s="6">
        <f>Permanent!E21</f>
        <v>0</v>
      </c>
      <c r="P26" s="6"/>
      <c r="Q26" s="6">
        <f t="shared" si="4"/>
        <v>0</v>
      </c>
    </row>
    <row r="27" spans="1:18" x14ac:dyDescent="0.25">
      <c r="A27" s="4" t="s">
        <v>26</v>
      </c>
      <c r="C27" s="6">
        <f>C67-SUM(C23:C26)</f>
        <v>1175484.1299999999</v>
      </c>
      <c r="D27" s="6"/>
      <c r="E27" s="6">
        <f>E67-SUM(E23:E26)</f>
        <v>340122.59000000008</v>
      </c>
      <c r="F27" s="6"/>
      <c r="G27" s="6">
        <f>G67-SUM(G23:G26)</f>
        <v>0</v>
      </c>
      <c r="H27" s="6"/>
      <c r="I27" s="6">
        <f>I67-SUM(I23:I26)</f>
        <v>266180.12</v>
      </c>
      <c r="J27" s="6"/>
      <c r="K27" s="6">
        <f>'Special Revenue'!AI27</f>
        <v>111040.52999999997</v>
      </c>
      <c r="L27" s="6"/>
      <c r="M27" s="6">
        <f>'Capital Projects'!X21</f>
        <v>1013844.66</v>
      </c>
      <c r="N27" s="6"/>
      <c r="O27" s="6">
        <f>Permanent!E22</f>
        <v>152170.53</v>
      </c>
      <c r="P27" s="6"/>
      <c r="Q27" s="6">
        <f t="shared" si="4"/>
        <v>3058842.5599999996</v>
      </c>
    </row>
    <row r="28" spans="1:18" x14ac:dyDescent="0.25">
      <c r="A28" s="1" t="s">
        <v>27</v>
      </c>
      <c r="C28" s="9">
        <f>SUM(C23:C27)</f>
        <v>1242605.25</v>
      </c>
      <c r="D28" s="6"/>
      <c r="E28" s="9">
        <f>SUM(E23:E27)</f>
        <v>345628.59000000008</v>
      </c>
      <c r="F28" s="6"/>
      <c r="G28" s="9">
        <f>SUM(G23:G27)</f>
        <v>0</v>
      </c>
      <c r="H28" s="6"/>
      <c r="I28" s="9">
        <f>SUM(I23:I27)</f>
        <v>266180.12</v>
      </c>
      <c r="J28" s="6"/>
      <c r="K28" s="9">
        <f>SUM(K23:K27)</f>
        <v>111040.52999999997</v>
      </c>
      <c r="L28" s="6"/>
      <c r="M28" s="9">
        <f>SUM(M23:M27)</f>
        <v>1013844.66</v>
      </c>
      <c r="N28" s="6"/>
      <c r="O28" s="9">
        <f>SUM(O23:O27)</f>
        <v>152170.53</v>
      </c>
      <c r="P28" s="6"/>
      <c r="Q28" s="9">
        <f>SUM(Q23:Q27)</f>
        <v>3131469.6799999997</v>
      </c>
    </row>
    <row r="29" spans="1:18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x14ac:dyDescent="0.25">
      <c r="A30" s="1" t="s">
        <v>28</v>
      </c>
    </row>
    <row r="31" spans="1:18" ht="16.5" thickBot="1" x14ac:dyDescent="0.3">
      <c r="A31" s="4" t="s">
        <v>29</v>
      </c>
      <c r="C31" s="8">
        <f>+C16+C28+C20</f>
        <v>4681807.97</v>
      </c>
      <c r="D31" s="5"/>
      <c r="E31" s="8">
        <f t="shared" ref="E31" si="5">+E16+E28+E20</f>
        <v>719622.95000000007</v>
      </c>
      <c r="F31" s="5"/>
      <c r="G31" s="8">
        <f t="shared" ref="G31" si="6">+G16+G28+G20</f>
        <v>308628</v>
      </c>
      <c r="H31" s="5"/>
      <c r="I31" s="8">
        <f>+I16+I28+I20</f>
        <v>277880.32000000001</v>
      </c>
      <c r="J31" s="5"/>
      <c r="K31" s="8">
        <f>+K16+K28+K20</f>
        <v>1535396.04</v>
      </c>
      <c r="L31" s="5"/>
      <c r="M31" s="8">
        <f t="shared" ref="M31" si="7">+M16+M28+M20</f>
        <v>1017022.17</v>
      </c>
      <c r="N31" s="5"/>
      <c r="O31" s="8">
        <f t="shared" ref="O31" si="8">+O16+O28+O20</f>
        <v>152170.53</v>
      </c>
      <c r="P31" s="5"/>
      <c r="Q31" s="8">
        <f t="shared" ref="Q31" si="9">+Q16+Q28+Q20</f>
        <v>8692527.9800000004</v>
      </c>
      <c r="R31" s="5"/>
    </row>
    <row r="32" spans="1:18" ht="16.5" thickTop="1" x14ac:dyDescent="0.25"/>
    <row r="34" spans="1:17" x14ac:dyDescent="0.25">
      <c r="A34" s="10"/>
      <c r="B34" s="10"/>
      <c r="C34" s="11">
        <f>C11-C31</f>
        <v>0</v>
      </c>
      <c r="D34" s="10"/>
      <c r="E34" s="11">
        <f>E11-E31</f>
        <v>0.10999999998603016</v>
      </c>
      <c r="F34" s="10"/>
      <c r="G34" s="11">
        <f>G11-G31</f>
        <v>0</v>
      </c>
      <c r="H34" s="10"/>
      <c r="I34" s="11">
        <f>I11-I31</f>
        <v>0.33999999996740371</v>
      </c>
      <c r="J34" s="10"/>
      <c r="K34" s="11">
        <f>K11-K31</f>
        <v>0.39999999990686774</v>
      </c>
      <c r="L34" s="10"/>
      <c r="M34" s="11">
        <f>M11-M31</f>
        <v>0.45999999984633178</v>
      </c>
      <c r="N34" s="10"/>
      <c r="O34" s="11">
        <f>O11-O31</f>
        <v>-0.35999999998603016</v>
      </c>
      <c r="P34" s="10"/>
      <c r="Q34" s="11">
        <f>Q11-Q31</f>
        <v>0.94999999925494194</v>
      </c>
    </row>
    <row r="35" spans="1:17" x14ac:dyDescent="0.25">
      <c r="A35" s="10"/>
      <c r="B35" s="10"/>
      <c r="C35" s="11">
        <f>C28-C67</f>
        <v>0</v>
      </c>
      <c r="D35" s="10"/>
      <c r="E35" s="11">
        <f>E28-E67</f>
        <v>0</v>
      </c>
      <c r="F35" s="10"/>
      <c r="G35" s="11">
        <f>G28-G67</f>
        <v>0</v>
      </c>
      <c r="H35" s="10"/>
      <c r="I35" s="11">
        <f>I28-I67</f>
        <v>0</v>
      </c>
      <c r="J35" s="10"/>
      <c r="K35" s="11">
        <f>K28-K67</f>
        <v>0</v>
      </c>
      <c r="L35" s="10"/>
      <c r="M35" s="11">
        <f>M28-M67</f>
        <v>0</v>
      </c>
      <c r="N35" s="10"/>
      <c r="O35" s="11">
        <f>O28-O67</f>
        <v>0</v>
      </c>
      <c r="P35" s="10"/>
      <c r="Q35" s="11">
        <f>Q28-Q67</f>
        <v>0</v>
      </c>
    </row>
    <row r="37" spans="1:17" x14ac:dyDescent="0.25">
      <c r="C37" s="2"/>
      <c r="D37" s="2"/>
      <c r="E37" s="2"/>
      <c r="F37" s="2"/>
      <c r="G37" s="2" t="s">
        <v>116</v>
      </c>
      <c r="H37" s="2"/>
      <c r="I37" s="2" t="s">
        <v>118</v>
      </c>
      <c r="J37" s="2"/>
      <c r="K37" s="2" t="s">
        <v>0</v>
      </c>
      <c r="L37" s="2"/>
      <c r="M37" s="2" t="s">
        <v>1</v>
      </c>
      <c r="N37" s="2"/>
      <c r="O37" s="2"/>
      <c r="P37" s="2"/>
      <c r="Q37" s="2" t="s">
        <v>80</v>
      </c>
    </row>
    <row r="38" spans="1:17" x14ac:dyDescent="0.25">
      <c r="C38" s="2" t="s">
        <v>115</v>
      </c>
      <c r="D38" s="2"/>
      <c r="E38" s="2" t="s">
        <v>91</v>
      </c>
      <c r="F38" s="2"/>
      <c r="G38" s="2" t="s">
        <v>117</v>
      </c>
      <c r="H38" s="2"/>
      <c r="I38" s="2" t="s">
        <v>87</v>
      </c>
      <c r="J38" s="2"/>
      <c r="K38" s="2" t="s">
        <v>2</v>
      </c>
      <c r="L38" s="2"/>
      <c r="M38" s="2" t="s">
        <v>3</v>
      </c>
      <c r="N38" s="2"/>
      <c r="O38" s="2" t="s">
        <v>4</v>
      </c>
      <c r="P38" s="2"/>
      <c r="Q38" s="2" t="s">
        <v>5</v>
      </c>
    </row>
    <row r="39" spans="1:17" x14ac:dyDescent="0.25">
      <c r="C39" s="3" t="s">
        <v>63</v>
      </c>
      <c r="D39" s="2"/>
      <c r="E39" s="3" t="s">
        <v>63</v>
      </c>
      <c r="F39" s="2"/>
      <c r="G39" s="3" t="s">
        <v>63</v>
      </c>
      <c r="H39" s="2"/>
      <c r="I39" s="3" t="s">
        <v>63</v>
      </c>
      <c r="J39" s="2"/>
      <c r="K39" s="3" t="s">
        <v>6</v>
      </c>
      <c r="L39" s="2"/>
      <c r="M39" s="3" t="s">
        <v>6</v>
      </c>
      <c r="N39" s="2"/>
      <c r="O39" s="3" t="s">
        <v>6</v>
      </c>
      <c r="P39" s="2"/>
      <c r="Q39" s="3" t="s">
        <v>6</v>
      </c>
    </row>
    <row r="40" spans="1:17" hidden="1" x14ac:dyDescent="0.25"/>
    <row r="41" spans="1:17" x14ac:dyDescent="0.25">
      <c r="A41" s="1" t="s">
        <v>30</v>
      </c>
    </row>
    <row r="42" spans="1:17" x14ac:dyDescent="0.25">
      <c r="A42" s="4" t="s">
        <v>31</v>
      </c>
      <c r="B42" s="4"/>
      <c r="C42" s="5">
        <v>2596476.15</v>
      </c>
      <c r="D42" s="5"/>
      <c r="E42" s="5">
        <f>1237646+159949.02+124685.33+20000+164034.2</f>
        <v>1706314.55</v>
      </c>
      <c r="F42" s="5"/>
      <c r="G42" s="5">
        <v>0</v>
      </c>
      <c r="H42" s="5"/>
      <c r="I42" s="5">
        <v>0</v>
      </c>
      <c r="J42" s="5"/>
      <c r="K42" s="5">
        <f>'Special Revenue'!AI42</f>
        <v>213796.13</v>
      </c>
      <c r="L42" s="5"/>
      <c r="M42" s="5">
        <v>0</v>
      </c>
      <c r="N42" s="5"/>
      <c r="O42" s="5">
        <v>0</v>
      </c>
      <c r="P42" s="5"/>
      <c r="Q42" s="5">
        <f t="shared" ref="Q42:Q45" si="10">SUM(C42:O42)</f>
        <v>4516586.83</v>
      </c>
    </row>
    <row r="43" spans="1:17" x14ac:dyDescent="0.25">
      <c r="A43" s="4" t="s">
        <v>32</v>
      </c>
      <c r="B43" s="4"/>
      <c r="C43" s="6">
        <f>88728.29+41500+1466.67+19757.88+7127.56+15000</f>
        <v>173580.4</v>
      </c>
      <c r="D43" s="6"/>
      <c r="E43" s="6">
        <f>1425+990+585</f>
        <v>3000</v>
      </c>
      <c r="F43" s="6"/>
      <c r="G43" s="6">
        <v>0</v>
      </c>
      <c r="H43" s="6"/>
      <c r="I43" s="6">
        <f>9687.75+112568.91</f>
        <v>122256.66</v>
      </c>
      <c r="J43" s="6"/>
      <c r="K43" s="6">
        <f>'Special Revenue'!AI43</f>
        <v>4980</v>
      </c>
      <c r="L43" s="6"/>
      <c r="M43" s="6">
        <v>0</v>
      </c>
      <c r="N43" s="6"/>
      <c r="O43" s="6">
        <v>0</v>
      </c>
      <c r="P43" s="6"/>
      <c r="Q43" s="6">
        <f t="shared" si="10"/>
        <v>303817.06</v>
      </c>
    </row>
    <row r="44" spans="1:17" x14ac:dyDescent="0.25">
      <c r="A44" s="4" t="s">
        <v>33</v>
      </c>
      <c r="B44" s="4"/>
      <c r="C44" s="6">
        <v>203759.6</v>
      </c>
      <c r="D44" s="6"/>
      <c r="E44" s="6">
        <v>0</v>
      </c>
      <c r="F44" s="6"/>
      <c r="G44" s="6">
        <v>0</v>
      </c>
      <c r="H44" s="6"/>
      <c r="I44" s="6">
        <v>8726.06</v>
      </c>
      <c r="J44" s="6"/>
      <c r="K44" s="6">
        <f>'Special Revenue'!AI44</f>
        <v>21.69</v>
      </c>
      <c r="L44" s="6"/>
      <c r="M44" s="6">
        <f>'Capital Projects'!X38</f>
        <v>0</v>
      </c>
      <c r="N44" s="6"/>
      <c r="O44" s="6">
        <f>Permanent!E37</f>
        <v>2246.79</v>
      </c>
      <c r="P44" s="6"/>
      <c r="Q44" s="6">
        <f t="shared" si="10"/>
        <v>214754.14</v>
      </c>
    </row>
    <row r="45" spans="1:17" x14ac:dyDescent="0.25">
      <c r="A45" s="4" t="s">
        <v>34</v>
      </c>
      <c r="B45" s="4"/>
      <c r="C45" s="6">
        <v>16628.18</v>
      </c>
      <c r="D45" s="6"/>
      <c r="E45" s="6">
        <f>7100+1363.56</f>
        <v>8463.56</v>
      </c>
      <c r="F45" s="6"/>
      <c r="G45" s="6">
        <v>0</v>
      </c>
      <c r="H45" s="6"/>
      <c r="I45" s="6">
        <v>0</v>
      </c>
      <c r="J45" s="6"/>
      <c r="K45" s="6">
        <f>'Special Revenue'!AI45</f>
        <v>31456.240000000002</v>
      </c>
      <c r="L45" s="6"/>
      <c r="M45" s="6">
        <f>'Capital Projects'!X39</f>
        <v>86234.59</v>
      </c>
      <c r="N45" s="6"/>
      <c r="O45" s="6">
        <f>Permanent!E38</f>
        <v>32182.480000000003</v>
      </c>
      <c r="P45" s="6"/>
      <c r="Q45" s="6">
        <f t="shared" si="10"/>
        <v>174965.05000000002</v>
      </c>
    </row>
    <row r="46" spans="1:17" x14ac:dyDescent="0.25">
      <c r="A46" s="1" t="s">
        <v>35</v>
      </c>
      <c r="C46" s="9">
        <f>SUM(C42:C45)</f>
        <v>2990444.33</v>
      </c>
      <c r="D46" s="6"/>
      <c r="E46" s="9">
        <f>SUM(E42:E45)</f>
        <v>1717778.11</v>
      </c>
      <c r="F46" s="6"/>
      <c r="G46" s="9">
        <f>SUM(G42:G45)</f>
        <v>0</v>
      </c>
      <c r="H46" s="6"/>
      <c r="I46" s="9">
        <f>SUM(I42:I45)</f>
        <v>130982.72</v>
      </c>
      <c r="J46" s="6"/>
      <c r="K46" s="9">
        <f>SUM(K42:K45)</f>
        <v>250254.06</v>
      </c>
      <c r="L46" s="6"/>
      <c r="M46" s="9">
        <f>SUM(M42:M45)</f>
        <v>86234.59</v>
      </c>
      <c r="N46" s="6"/>
      <c r="O46" s="9">
        <f>SUM(O42:O45)</f>
        <v>34429.270000000004</v>
      </c>
      <c r="P46" s="6"/>
      <c r="Q46" s="9">
        <f>SUM(Q42:Q45)</f>
        <v>5210123.0799999991</v>
      </c>
    </row>
    <row r="47" spans="1:17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1" t="s">
        <v>36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8" x14ac:dyDescent="0.25">
      <c r="A49" s="4" t="s">
        <v>37</v>
      </c>
      <c r="B49" s="4"/>
      <c r="C49" s="6">
        <f>-229000+2690081.68</f>
        <v>2461081.6800000002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f>'Special Revenue'!AI49</f>
        <v>0</v>
      </c>
      <c r="L49" s="6"/>
      <c r="M49" s="6">
        <f>'Capital Projects'!X43</f>
        <v>358885.93</v>
      </c>
      <c r="N49" s="6"/>
      <c r="O49" s="6">
        <v>0</v>
      </c>
      <c r="P49" s="6"/>
      <c r="Q49" s="6">
        <f t="shared" ref="Q49:Q50" si="11">SUM(C49:O49)</f>
        <v>2819967.6100000003</v>
      </c>
    </row>
    <row r="50" spans="1:18" x14ac:dyDescent="0.25">
      <c r="A50" s="4" t="s">
        <v>38</v>
      </c>
      <c r="B50" s="4"/>
      <c r="C50" s="6">
        <v>0</v>
      </c>
      <c r="D50" s="6"/>
      <c r="E50" s="6">
        <f>2080622.52-127000</f>
        <v>1953622.52</v>
      </c>
      <c r="F50" s="6"/>
      <c r="G50" s="6">
        <v>0</v>
      </c>
      <c r="H50" s="6"/>
      <c r="I50" s="6">
        <v>120221.6</v>
      </c>
      <c r="J50" s="6"/>
      <c r="K50" s="6">
        <f>'Special Revenue'!AI50</f>
        <v>448936.53</v>
      </c>
      <c r="L50" s="6"/>
      <c r="M50" s="6">
        <f>'Capital Projects'!X44</f>
        <v>168701</v>
      </c>
      <c r="N50" s="6"/>
      <c r="O50" s="6">
        <f>Permanent!E42</f>
        <v>53277.19</v>
      </c>
      <c r="P50" s="6"/>
      <c r="Q50" s="6">
        <f t="shared" si="11"/>
        <v>2744758.8400000003</v>
      </c>
    </row>
    <row r="51" spans="1:18" x14ac:dyDescent="0.25">
      <c r="A51" s="1" t="s">
        <v>39</v>
      </c>
      <c r="C51" s="9">
        <f>SUM(C49:C50)</f>
        <v>2461081.6800000002</v>
      </c>
      <c r="D51" s="6"/>
      <c r="E51" s="9">
        <f>SUM(E49:E50)</f>
        <v>1953622.52</v>
      </c>
      <c r="F51" s="6"/>
      <c r="G51" s="9">
        <f>SUM(G49:G50)</f>
        <v>0</v>
      </c>
      <c r="H51" s="6"/>
      <c r="I51" s="9">
        <f>SUM(I49:I50)</f>
        <v>120221.6</v>
      </c>
      <c r="J51" s="6"/>
      <c r="K51" s="9">
        <f>SUM(K49:K50)</f>
        <v>448936.53</v>
      </c>
      <c r="L51" s="6"/>
      <c r="M51" s="9">
        <f>SUM(M49:M50)</f>
        <v>527586.92999999993</v>
      </c>
      <c r="N51" s="6"/>
      <c r="O51" s="9">
        <f>SUM(O49:O50)</f>
        <v>53277.19</v>
      </c>
      <c r="P51" s="6"/>
      <c r="Q51" s="9">
        <f t="shared" ref="Q51" si="12">SUM(Q49:Q50)</f>
        <v>5564726.4500000011</v>
      </c>
      <c r="R51" s="6"/>
    </row>
    <row r="52" spans="1:18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8" x14ac:dyDescent="0.25">
      <c r="A53" s="1" t="s">
        <v>40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8" x14ac:dyDescent="0.25">
      <c r="A54" s="4" t="s">
        <v>41</v>
      </c>
      <c r="B54" s="4"/>
      <c r="C54" s="7">
        <f>+C46-C51</f>
        <v>529362.64999999991</v>
      </c>
      <c r="D54" s="6"/>
      <c r="E54" s="7">
        <f>+E46-E51</f>
        <v>-235844.40999999992</v>
      </c>
      <c r="F54" s="6"/>
      <c r="G54" s="7">
        <f>+G46-G51</f>
        <v>0</v>
      </c>
      <c r="H54" s="6"/>
      <c r="I54" s="7">
        <f>+I46-I51</f>
        <v>10761.119999999995</v>
      </c>
      <c r="J54" s="6"/>
      <c r="K54" s="7">
        <f>'Special Revenue'!AI54</f>
        <v>-198682.47000000003</v>
      </c>
      <c r="L54" s="6"/>
      <c r="M54" s="7">
        <f>+M46-M51</f>
        <v>-441352.33999999997</v>
      </c>
      <c r="N54" s="6"/>
      <c r="O54" s="7">
        <f>+O46-O51</f>
        <v>-18847.919999999998</v>
      </c>
      <c r="P54" s="6"/>
      <c r="Q54" s="7">
        <f>+Q46-Q51</f>
        <v>-354603.37000000197</v>
      </c>
    </row>
    <row r="55" spans="1:18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8" x14ac:dyDescent="0.25">
      <c r="A56" s="1" t="s">
        <v>42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8" hidden="1" x14ac:dyDescent="0.25">
      <c r="A57" s="4" t="s">
        <v>43</v>
      </c>
      <c r="B57" s="4"/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f>SUM(K57:O57)</f>
        <v>0</v>
      </c>
    </row>
    <row r="58" spans="1:18" x14ac:dyDescent="0.25">
      <c r="A58" s="4" t="s">
        <v>44</v>
      </c>
      <c r="B58" s="4"/>
      <c r="C58" s="6">
        <f>84852.11-41500-1466.67-19757.88-7127.56-15000</f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f>'Special Revenue'!AI57</f>
        <v>5000</v>
      </c>
      <c r="L58" s="6"/>
      <c r="M58" s="6">
        <f>'Capital Projects'!X52</f>
        <v>329000</v>
      </c>
      <c r="N58" s="6"/>
      <c r="O58" s="6">
        <f>Permanent!E49</f>
        <v>0</v>
      </c>
      <c r="P58" s="6"/>
      <c r="Q58" s="6">
        <f t="shared" ref="Q58:Q59" si="13">SUM(C58:O58)</f>
        <v>334000</v>
      </c>
    </row>
    <row r="59" spans="1:18" x14ac:dyDescent="0.25">
      <c r="A59" s="4" t="s">
        <v>45</v>
      </c>
      <c r="B59" s="4"/>
      <c r="C59" s="7">
        <v>-229000</v>
      </c>
      <c r="D59" s="6"/>
      <c r="E59" s="7">
        <v>-127000</v>
      </c>
      <c r="F59" s="6"/>
      <c r="G59" s="7">
        <v>0</v>
      </c>
      <c r="H59" s="6"/>
      <c r="I59" s="7">
        <v>0</v>
      </c>
      <c r="J59" s="6"/>
      <c r="K59" s="7">
        <f>'Special Revenue'!AI58</f>
        <v>0</v>
      </c>
      <c r="L59" s="6"/>
      <c r="M59" s="7">
        <f>'Capital Projects'!X53</f>
        <v>0</v>
      </c>
      <c r="N59" s="6"/>
      <c r="O59" s="7">
        <f>Permanent!E50</f>
        <v>-41.55</v>
      </c>
      <c r="P59" s="6"/>
      <c r="Q59" s="7">
        <f t="shared" si="13"/>
        <v>-356041.55</v>
      </c>
    </row>
    <row r="60" spans="1:18" x14ac:dyDescent="0.25">
      <c r="A60" s="1" t="s">
        <v>46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8" x14ac:dyDescent="0.25">
      <c r="A61" s="4" t="s">
        <v>47</v>
      </c>
      <c r="B61" s="4"/>
      <c r="C61" s="7">
        <f>SUM(C58:C59)</f>
        <v>-229000</v>
      </c>
      <c r="D61" s="6"/>
      <c r="E61" s="7">
        <f>SUM(E58:E59)</f>
        <v>-127000</v>
      </c>
      <c r="F61" s="6"/>
      <c r="G61" s="7">
        <f>SUM(G58:G59)</f>
        <v>0</v>
      </c>
      <c r="H61" s="6"/>
      <c r="I61" s="7">
        <f>SUM(I58:I59)</f>
        <v>0</v>
      </c>
      <c r="J61" s="6"/>
      <c r="K61" s="7">
        <f>SUM(K58:K59)</f>
        <v>5000</v>
      </c>
      <c r="L61" s="6"/>
      <c r="M61" s="7">
        <f>SUM(M58:M59)</f>
        <v>329000</v>
      </c>
      <c r="N61" s="6"/>
      <c r="O61" s="7">
        <f>SUM(O58:O59)</f>
        <v>-41.55</v>
      </c>
      <c r="P61" s="6"/>
      <c r="Q61" s="7">
        <f>SUM(Q58:Q59)</f>
        <v>-22041.549999999988</v>
      </c>
    </row>
    <row r="62" spans="1:18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8" x14ac:dyDescent="0.25">
      <c r="A63" s="1" t="s">
        <v>48</v>
      </c>
      <c r="C63" s="6">
        <f>+C54+C61</f>
        <v>300362.64999999991</v>
      </c>
      <c r="D63" s="6"/>
      <c r="E63" s="6">
        <f>+E54+E61</f>
        <v>-362844.40999999992</v>
      </c>
      <c r="F63" s="6"/>
      <c r="G63" s="6">
        <f>+G54+G61</f>
        <v>0</v>
      </c>
      <c r="H63" s="6"/>
      <c r="I63" s="6">
        <f>+I54+I61</f>
        <v>10761.119999999995</v>
      </c>
      <c r="J63" s="6"/>
      <c r="K63" s="6">
        <f>+K54+K61</f>
        <v>-193682.47000000003</v>
      </c>
      <c r="L63" s="6"/>
      <c r="M63" s="6">
        <f>+M54+M61</f>
        <v>-112352.33999999997</v>
      </c>
      <c r="N63" s="6"/>
      <c r="O63" s="6">
        <f>+O54+O61</f>
        <v>-18889.469999999998</v>
      </c>
      <c r="P63" s="6"/>
      <c r="Q63" s="6">
        <f>+Q54+Q61</f>
        <v>-376644.92000000196</v>
      </c>
    </row>
    <row r="64" spans="1:18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1" t="s">
        <v>49</v>
      </c>
      <c r="C65" s="7">
        <f>941035.21+250+957.39</f>
        <v>942242.6</v>
      </c>
      <c r="D65" s="6"/>
      <c r="E65" s="7">
        <f>708712-239</f>
        <v>708473</v>
      </c>
      <c r="F65" s="6"/>
      <c r="G65" s="7">
        <v>0</v>
      </c>
      <c r="H65" s="6"/>
      <c r="I65" s="7">
        <v>255419</v>
      </c>
      <c r="J65" s="6"/>
      <c r="K65" s="7">
        <f>'Special Revenue'!AI64</f>
        <v>304723</v>
      </c>
      <c r="L65" s="6"/>
      <c r="M65" s="7">
        <f>'Capital Projects'!X59</f>
        <v>1126197</v>
      </c>
      <c r="N65" s="6"/>
      <c r="O65" s="7">
        <f>Permanent!E56</f>
        <v>171060</v>
      </c>
      <c r="P65" s="6"/>
      <c r="Q65" s="7">
        <f>SUM(C65:O65)</f>
        <v>3508114.6</v>
      </c>
    </row>
    <row r="66" spans="1:17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6.5" thickBot="1" x14ac:dyDescent="0.3">
      <c r="A67" s="1" t="s">
        <v>50</v>
      </c>
      <c r="C67" s="8">
        <f>SUM(C63:C66)</f>
        <v>1242605.25</v>
      </c>
      <c r="D67" s="5"/>
      <c r="E67" s="8">
        <f>SUM(E63:E66)</f>
        <v>345628.59000000008</v>
      </c>
      <c r="F67" s="5"/>
      <c r="G67" s="8">
        <f>SUM(G63:G66)</f>
        <v>0</v>
      </c>
      <c r="H67" s="5"/>
      <c r="I67" s="8">
        <f>SUM(I63:I66)</f>
        <v>266180.12</v>
      </c>
      <c r="J67" s="5"/>
      <c r="K67" s="8">
        <f>SUM(K63:K66)</f>
        <v>111040.52999999997</v>
      </c>
      <c r="L67" s="5"/>
      <c r="M67" s="8">
        <f>SUM(M63:M66)</f>
        <v>1013844.66</v>
      </c>
      <c r="N67" s="5"/>
      <c r="O67" s="8">
        <f>SUM(O63:O66)</f>
        <v>152170.53</v>
      </c>
      <c r="P67" s="5"/>
      <c r="Q67" s="8">
        <f>SUM(Q63:Q66)</f>
        <v>3131469.6799999983</v>
      </c>
    </row>
    <row r="68" spans="1:17" ht="16.5" thickTop="1" x14ac:dyDescent="0.25"/>
    <row r="69" spans="1:17" x14ac:dyDescent="0.25">
      <c r="D69" s="6"/>
      <c r="L69" s="6"/>
    </row>
    <row r="71" spans="1:17" x14ac:dyDescent="0.25">
      <c r="D71" s="6"/>
      <c r="L71" s="6"/>
    </row>
    <row r="73" spans="1:17" ht="13.5" customHeight="1" x14ac:dyDescent="0.25"/>
    <row r="74" spans="1:17" hidden="1" x14ac:dyDescent="0.25"/>
  </sheetData>
  <pageMargins left="0.75" right="0.75" top="0.62" bottom="1" header="0.5" footer="0.5"/>
  <pageSetup scale="90" orientation="landscape" r:id="rId1"/>
  <headerFooter alignWithMargins="0">
    <oddHeader>&amp;R&amp;"Arial,Bold"&amp;18&amp;A</oddHeader>
    <oddFooter>&amp;L&amp;Z&amp;F --
&amp;14&amp;A&amp;R&amp;P/&amp;N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5750-E22A-4A0E-9B9F-0AB4C5D1E7E5}">
  <sheetPr>
    <tabColor rgb="FF002060"/>
  </sheetPr>
  <dimension ref="A1:AJ68"/>
  <sheetViews>
    <sheetView showGridLines="0" zoomScale="98" zoomScaleNormal="98" workbookViewId="0">
      <pane xSplit="4" ySplit="1" topLeftCell="O2" activePane="bottomRight" state="frozen"/>
      <selection pane="topRight" activeCell="E1" sqref="E1"/>
      <selection pane="bottomLeft" activeCell="A2" sqref="A2"/>
      <selection pane="bottomRight" activeCell="K2" sqref="K2"/>
    </sheetView>
  </sheetViews>
  <sheetFormatPr defaultColWidth="9.140625" defaultRowHeight="15.75" x14ac:dyDescent="0.25"/>
  <cols>
    <col min="1" max="1" width="52.5703125" style="1" bestFit="1" customWidth="1"/>
    <col min="2" max="2" width="1.85546875" style="1" customWidth="1"/>
    <col min="3" max="3" width="10.7109375" style="1" hidden="1" customWidth="1"/>
    <col min="4" max="4" width="0.85546875" style="1" hidden="1" customWidth="1"/>
    <col min="5" max="5" width="11.28515625" style="1" customWidth="1"/>
    <col min="6" max="6" width="0.85546875" style="1" customWidth="1"/>
    <col min="7" max="7" width="14.7109375" style="1" customWidth="1"/>
    <col min="8" max="8" width="0.85546875" style="1" customWidth="1"/>
    <col min="9" max="9" width="14.710937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4.7109375" style="1" customWidth="1"/>
    <col min="16" max="16" width="0.85546875" style="1" customWidth="1"/>
    <col min="17" max="17" width="14.7109375" style="1" customWidth="1"/>
    <col min="18" max="18" width="0.85546875" style="1" customWidth="1"/>
    <col min="19" max="19" width="10" style="1" customWidth="1"/>
    <col min="20" max="20" width="0.85546875" style="1" customWidth="1"/>
    <col min="21" max="21" width="14.7109375" style="1" customWidth="1"/>
    <col min="22" max="22" width="0.85546875" style="1" customWidth="1"/>
    <col min="23" max="23" width="14.7109375" style="1" customWidth="1"/>
    <col min="24" max="24" width="0.85546875" style="1" customWidth="1"/>
    <col min="25" max="25" width="14.7109375" style="1" customWidth="1"/>
    <col min="26" max="26" width="0.85546875" style="1" customWidth="1"/>
    <col min="27" max="27" width="14.7109375" style="1" customWidth="1"/>
    <col min="28" max="28" width="0.85546875" style="1" customWidth="1"/>
    <col min="29" max="29" width="14.7109375" style="1" customWidth="1"/>
    <col min="30" max="30" width="0.85546875" style="1" customWidth="1"/>
    <col min="31" max="31" width="14.140625" style="1" customWidth="1"/>
    <col min="32" max="32" width="0.85546875" style="1" customWidth="1"/>
    <col min="33" max="33" width="14.7109375" style="1" customWidth="1"/>
    <col min="34" max="34" width="0.85546875" style="1" customWidth="1"/>
    <col min="35" max="35" width="14.140625" style="1" customWidth="1"/>
    <col min="36" max="36" width="0.85546875" style="1" customWidth="1"/>
    <col min="37" max="16384" width="9.140625" style="1"/>
  </cols>
  <sheetData>
    <row r="1" spans="1:35" x14ac:dyDescent="0.25">
      <c r="A1" s="1" t="s">
        <v>119</v>
      </c>
      <c r="E1" s="20">
        <v>49</v>
      </c>
      <c r="F1" s="20"/>
      <c r="G1" s="20">
        <v>61</v>
      </c>
      <c r="H1" s="20"/>
      <c r="I1" s="20">
        <v>62</v>
      </c>
      <c r="J1" s="20"/>
      <c r="K1" s="20">
        <v>64</v>
      </c>
      <c r="L1" s="20"/>
      <c r="M1" s="20">
        <v>65</v>
      </c>
      <c r="N1" s="20"/>
      <c r="O1" s="20" t="s">
        <v>127</v>
      </c>
      <c r="P1" s="20"/>
      <c r="Q1" s="20">
        <v>13</v>
      </c>
      <c r="R1" s="20"/>
      <c r="S1" s="20">
        <v>14</v>
      </c>
      <c r="T1" s="20"/>
      <c r="U1" s="20">
        <v>67</v>
      </c>
      <c r="V1" s="20"/>
      <c r="W1" s="20">
        <v>45</v>
      </c>
      <c r="X1" s="20"/>
      <c r="Y1" s="20">
        <v>44</v>
      </c>
      <c r="Z1" s="20"/>
      <c r="AA1" s="20">
        <v>58</v>
      </c>
      <c r="AB1" s="20"/>
      <c r="AC1" s="20">
        <v>42</v>
      </c>
      <c r="AD1" s="20"/>
      <c r="AE1" s="20">
        <v>39</v>
      </c>
      <c r="AF1" s="20"/>
      <c r="AG1" s="20">
        <v>69</v>
      </c>
    </row>
    <row r="2" spans="1:35" x14ac:dyDescent="0.25">
      <c r="A2" s="1" t="s">
        <v>122</v>
      </c>
      <c r="C2" s="2" t="s">
        <v>51</v>
      </c>
      <c r="D2" s="2"/>
      <c r="E2" s="2"/>
      <c r="F2" s="2"/>
      <c r="I2" s="2" t="s">
        <v>52</v>
      </c>
      <c r="K2" s="2" t="s">
        <v>53</v>
      </c>
      <c r="M2" s="2" t="s">
        <v>54</v>
      </c>
      <c r="O2" s="2" t="s">
        <v>54</v>
      </c>
      <c r="P2" s="2"/>
      <c r="Q2" s="17"/>
      <c r="R2" s="2"/>
      <c r="S2" s="2"/>
      <c r="T2" s="2"/>
      <c r="U2" s="2" t="s">
        <v>68</v>
      </c>
      <c r="V2" s="2"/>
      <c r="W2" s="2" t="s">
        <v>69</v>
      </c>
      <c r="X2" s="2"/>
      <c r="Y2" s="2" t="s">
        <v>69</v>
      </c>
      <c r="Z2" s="2"/>
      <c r="AA2" s="2" t="s">
        <v>70</v>
      </c>
      <c r="AB2" s="2"/>
      <c r="AC2" s="2"/>
      <c r="AD2" s="2"/>
      <c r="AE2" s="2"/>
      <c r="AF2" s="2"/>
      <c r="AG2" s="2" t="s">
        <v>71</v>
      </c>
      <c r="AH2" s="2"/>
      <c r="AI2" s="2"/>
    </row>
    <row r="3" spans="1:35" x14ac:dyDescent="0.25">
      <c r="A3" s="1" t="s">
        <v>121</v>
      </c>
      <c r="C3" s="2" t="s">
        <v>55</v>
      </c>
      <c r="D3" s="2"/>
      <c r="E3" s="2"/>
      <c r="F3" s="2"/>
      <c r="G3" s="2" t="s">
        <v>56</v>
      </c>
      <c r="H3" s="2"/>
      <c r="I3" s="2" t="s">
        <v>57</v>
      </c>
      <c r="J3" s="2"/>
      <c r="K3" s="2" t="s">
        <v>58</v>
      </c>
      <c r="L3" s="2"/>
      <c r="M3" s="2" t="s">
        <v>59</v>
      </c>
      <c r="N3" s="2"/>
      <c r="O3" s="2" t="s">
        <v>60</v>
      </c>
      <c r="P3" s="2"/>
      <c r="Q3" s="17"/>
      <c r="R3" s="2"/>
      <c r="S3" s="2"/>
      <c r="T3" s="2"/>
      <c r="U3" s="2" t="s">
        <v>72</v>
      </c>
      <c r="V3" s="2"/>
      <c r="W3" s="2" t="s">
        <v>73</v>
      </c>
      <c r="X3" s="2"/>
      <c r="Y3" s="2" t="s">
        <v>74</v>
      </c>
      <c r="Z3" s="2"/>
      <c r="AA3" s="2" t="s">
        <v>75</v>
      </c>
      <c r="AB3" s="2"/>
      <c r="AC3" s="2" t="s">
        <v>76</v>
      </c>
      <c r="AD3" s="2"/>
      <c r="AE3" s="2"/>
      <c r="AF3" s="2"/>
      <c r="AG3" s="2" t="s">
        <v>77</v>
      </c>
      <c r="AH3" s="2"/>
      <c r="AI3" s="2"/>
    </row>
    <row r="4" spans="1:35" x14ac:dyDescent="0.25">
      <c r="C4" s="3" t="s">
        <v>61</v>
      </c>
      <c r="D4" s="2"/>
      <c r="E4" s="3" t="s">
        <v>62</v>
      </c>
      <c r="F4" s="2"/>
      <c r="G4" s="3" t="s">
        <v>63</v>
      </c>
      <c r="H4" s="2"/>
      <c r="I4" s="3" t="s">
        <v>63</v>
      </c>
      <c r="J4" s="2"/>
      <c r="K4" s="3" t="s">
        <v>64</v>
      </c>
      <c r="L4" s="2"/>
      <c r="M4" s="3" t="s">
        <v>63</v>
      </c>
      <c r="N4" s="2"/>
      <c r="O4" s="3" t="s">
        <v>63</v>
      </c>
      <c r="P4" s="2"/>
      <c r="Q4" s="18" t="s">
        <v>65</v>
      </c>
      <c r="R4" s="2"/>
      <c r="S4" s="3" t="s">
        <v>66</v>
      </c>
      <c r="T4" s="2"/>
      <c r="U4" s="3" t="s">
        <v>63</v>
      </c>
      <c r="V4" s="2"/>
      <c r="W4" s="3" t="s">
        <v>63</v>
      </c>
      <c r="X4" s="2"/>
      <c r="Y4" s="3" t="s">
        <v>63</v>
      </c>
      <c r="Z4" s="2"/>
      <c r="AA4" s="3" t="s">
        <v>63</v>
      </c>
      <c r="AB4" s="2"/>
      <c r="AC4" s="3" t="s">
        <v>63</v>
      </c>
      <c r="AD4" s="2"/>
      <c r="AE4" s="3" t="s">
        <v>78</v>
      </c>
      <c r="AF4" s="2"/>
      <c r="AG4" s="3" t="s">
        <v>79</v>
      </c>
      <c r="AH4" s="2"/>
      <c r="AI4" s="3" t="s">
        <v>80</v>
      </c>
    </row>
    <row r="5" spans="1:35" x14ac:dyDescent="0.25">
      <c r="A5" s="1" t="s">
        <v>7</v>
      </c>
    </row>
    <row r="6" spans="1:35" x14ac:dyDescent="0.25">
      <c r="A6" s="4" t="s">
        <v>8</v>
      </c>
      <c r="C6" s="5">
        <v>0</v>
      </c>
      <c r="D6" s="5"/>
      <c r="E6" s="5">
        <v>6238.21</v>
      </c>
      <c r="F6" s="5"/>
      <c r="G6" s="5">
        <v>0</v>
      </c>
      <c r="H6" s="5"/>
      <c r="I6" s="5">
        <v>0</v>
      </c>
      <c r="J6" s="5"/>
      <c r="K6" s="5">
        <v>0</v>
      </c>
      <c r="L6" s="5"/>
      <c r="M6" s="5">
        <v>0</v>
      </c>
      <c r="N6" s="5"/>
      <c r="O6" s="5">
        <v>351.25</v>
      </c>
      <c r="P6" s="5"/>
      <c r="Q6" s="5">
        <v>0</v>
      </c>
      <c r="R6" s="5"/>
      <c r="S6" s="5">
        <v>0</v>
      </c>
      <c r="T6" s="5"/>
      <c r="U6" s="5">
        <v>0</v>
      </c>
      <c r="V6" s="5"/>
      <c r="W6" s="5">
        <v>6060.11</v>
      </c>
      <c r="X6" s="5"/>
      <c r="Y6" s="5">
        <v>3054.41</v>
      </c>
      <c r="Z6" s="5"/>
      <c r="AA6" s="5">
        <v>0</v>
      </c>
      <c r="AB6" s="5"/>
      <c r="AC6" s="5">
        <v>0</v>
      </c>
      <c r="AD6" s="5"/>
      <c r="AE6" s="5">
        <v>0</v>
      </c>
      <c r="AF6" s="5"/>
      <c r="AG6" s="5">
        <v>0</v>
      </c>
      <c r="AH6" s="5"/>
      <c r="AI6" s="5">
        <f>SUM(E6:AG6)</f>
        <v>15703.98</v>
      </c>
    </row>
    <row r="7" spans="1:35" x14ac:dyDescent="0.25">
      <c r="A7" s="4" t="s">
        <v>67</v>
      </c>
      <c r="C7" s="6">
        <v>0</v>
      </c>
      <c r="D7" s="6"/>
      <c r="E7" s="6">
        <v>0</v>
      </c>
      <c r="F7" s="6"/>
      <c r="G7" s="6">
        <v>0</v>
      </c>
      <c r="H7" s="6"/>
      <c r="I7" s="6">
        <v>0</v>
      </c>
      <c r="J7" s="6"/>
      <c r="K7" s="6">
        <v>0</v>
      </c>
      <c r="L7" s="6"/>
      <c r="M7" s="6">
        <v>0</v>
      </c>
      <c r="N7" s="6"/>
      <c r="O7" s="6">
        <v>0</v>
      </c>
      <c r="P7" s="6"/>
      <c r="Q7" s="6">
        <v>0</v>
      </c>
      <c r="R7" s="6"/>
      <c r="S7" s="6">
        <v>0</v>
      </c>
      <c r="T7" s="6"/>
      <c r="U7" s="6">
        <v>0</v>
      </c>
      <c r="V7" s="6"/>
      <c r="W7" s="6">
        <v>0</v>
      </c>
      <c r="X7" s="6"/>
      <c r="Y7" s="6">
        <v>0</v>
      </c>
      <c r="Z7" s="6"/>
      <c r="AA7" s="6">
        <v>0</v>
      </c>
      <c r="AB7" s="6"/>
      <c r="AC7" s="6">
        <v>0</v>
      </c>
      <c r="AD7" s="6"/>
      <c r="AE7" s="6">
        <v>0</v>
      </c>
      <c r="AF7" s="6"/>
      <c r="AG7" s="6">
        <v>0</v>
      </c>
      <c r="AH7" s="6"/>
      <c r="AI7" s="6">
        <f>SUM(E7:AG7)</f>
        <v>0</v>
      </c>
    </row>
    <row r="8" spans="1:35" x14ac:dyDescent="0.25">
      <c r="A8" s="4" t="s">
        <v>10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v>3558.21</v>
      </c>
      <c r="T8" s="6"/>
      <c r="U8" s="6">
        <v>0</v>
      </c>
      <c r="V8" s="6"/>
      <c r="W8" s="6">
        <v>0</v>
      </c>
      <c r="X8" s="6"/>
      <c r="Y8" s="6">
        <v>0</v>
      </c>
      <c r="Z8" s="6"/>
      <c r="AA8" s="6">
        <v>0</v>
      </c>
      <c r="AB8" s="6"/>
      <c r="AC8" s="6">
        <v>0</v>
      </c>
      <c r="AD8" s="6"/>
      <c r="AE8" s="6">
        <v>0</v>
      </c>
      <c r="AF8" s="6"/>
      <c r="AG8" s="6">
        <v>0</v>
      </c>
      <c r="AH8" s="6"/>
      <c r="AI8" s="6">
        <f>SUM(E8:AG8)</f>
        <v>3558.21</v>
      </c>
    </row>
    <row r="9" spans="1:35" x14ac:dyDescent="0.25">
      <c r="A9" s="4" t="s">
        <v>11</v>
      </c>
      <c r="C9" s="6"/>
      <c r="D9" s="6"/>
      <c r="E9" s="6">
        <v>532.5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F9" s="6"/>
      <c r="AG9" s="6">
        <v>0</v>
      </c>
      <c r="AH9" s="6"/>
      <c r="AI9" s="6">
        <f>SUM(E9:AG9)</f>
        <v>532.5</v>
      </c>
    </row>
    <row r="10" spans="1:35" x14ac:dyDescent="0.25">
      <c r="A10" s="4" t="s">
        <v>12</v>
      </c>
      <c r="C10" s="7">
        <v>0</v>
      </c>
      <c r="D10" s="6"/>
      <c r="E10" s="7">
        <v>0</v>
      </c>
      <c r="F10" s="6"/>
      <c r="G10" s="7">
        <v>44981.91</v>
      </c>
      <c r="H10" s="6"/>
      <c r="I10" s="7">
        <v>215328.23</v>
      </c>
      <c r="J10" s="6"/>
      <c r="K10" s="7">
        <v>1542.88</v>
      </c>
      <c r="L10" s="6"/>
      <c r="M10" s="7">
        <v>1201.1500000000001</v>
      </c>
      <c r="N10" s="19"/>
      <c r="O10" s="7">
        <v>17342</v>
      </c>
      <c r="P10" s="19"/>
      <c r="Q10" s="7">
        <v>1040640.75</v>
      </c>
      <c r="R10" s="6"/>
      <c r="S10" s="7">
        <v>8389.42</v>
      </c>
      <c r="T10" s="6"/>
      <c r="U10" s="7">
        <v>237.34</v>
      </c>
      <c r="V10" s="6"/>
      <c r="W10" s="7">
        <v>0</v>
      </c>
      <c r="X10" s="6"/>
      <c r="Y10" s="7">
        <v>0</v>
      </c>
      <c r="Z10" s="6"/>
      <c r="AA10" s="7">
        <v>1356.68</v>
      </c>
      <c r="AB10" s="5"/>
      <c r="AC10" s="7">
        <v>155082.39000000001</v>
      </c>
      <c r="AD10" s="6"/>
      <c r="AE10" s="7">
        <v>0</v>
      </c>
      <c r="AF10" s="6"/>
      <c r="AG10" s="7">
        <v>29500</v>
      </c>
      <c r="AH10" s="19"/>
      <c r="AI10" s="7">
        <f>SUM(E10:AG10)-1</f>
        <v>1515601.75</v>
      </c>
    </row>
    <row r="11" spans="1:35" ht="16.5" thickBot="1" x14ac:dyDescent="0.3">
      <c r="A11" s="1" t="s">
        <v>13</v>
      </c>
      <c r="C11" s="8">
        <f>SUM(C6:C10)</f>
        <v>0</v>
      </c>
      <c r="D11" s="5"/>
      <c r="E11" s="8">
        <f>SUM(E6:E10)</f>
        <v>6770.71</v>
      </c>
      <c r="F11" s="5"/>
      <c r="G11" s="8">
        <f>SUM(G6:G10)</f>
        <v>44981.91</v>
      </c>
      <c r="H11" s="5"/>
      <c r="I11" s="8">
        <f>SUM(I6:I10)</f>
        <v>215328.23</v>
      </c>
      <c r="J11" s="5"/>
      <c r="K11" s="8">
        <f>SUM(K6:K10)</f>
        <v>1542.88</v>
      </c>
      <c r="L11" s="5"/>
      <c r="M11" s="8">
        <f>SUM(M6:M10)</f>
        <v>1201.1500000000001</v>
      </c>
      <c r="N11" s="5"/>
      <c r="O11" s="8">
        <f>SUM(O6:O10)</f>
        <v>17693.25</v>
      </c>
      <c r="P11" s="5"/>
      <c r="Q11" s="8">
        <f>SUM(Q6:Q10)</f>
        <v>1040640.75</v>
      </c>
      <c r="R11" s="5"/>
      <c r="S11" s="8">
        <f>SUM(S6:S10)</f>
        <v>11947.630000000001</v>
      </c>
      <c r="T11" s="5"/>
      <c r="U11" s="8">
        <f>SUM(U6:U10)</f>
        <v>237.34</v>
      </c>
      <c r="V11" s="5"/>
      <c r="W11" s="8">
        <f>SUM(W6:W10)</f>
        <v>6060.11</v>
      </c>
      <c r="X11" s="5"/>
      <c r="Y11" s="8">
        <f>SUM(Y6:Y10)</f>
        <v>3054.41</v>
      </c>
      <c r="Z11" s="5"/>
      <c r="AA11" s="8">
        <f>SUM(AA6:AA10)</f>
        <v>1356.68</v>
      </c>
      <c r="AB11" s="5"/>
      <c r="AC11" s="8">
        <f>SUM(AC6:AC10)</f>
        <v>155082.39000000001</v>
      </c>
      <c r="AD11" s="5"/>
      <c r="AE11" s="8">
        <f>SUM(AE6:AE10)</f>
        <v>0</v>
      </c>
      <c r="AF11" s="5"/>
      <c r="AG11" s="8">
        <f>SUM(AG6:AG10)</f>
        <v>29500</v>
      </c>
      <c r="AH11" s="5"/>
      <c r="AI11" s="8">
        <f>SUM(AI6:AI10)</f>
        <v>1535396.44</v>
      </c>
    </row>
    <row r="12" spans="1:35" ht="16.5" thickTop="1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x14ac:dyDescent="0.25">
      <c r="A13" s="1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x14ac:dyDescent="0.25">
      <c r="A14" s="4" t="s">
        <v>15</v>
      </c>
      <c r="C14" s="5">
        <v>0</v>
      </c>
      <c r="D14" s="5"/>
      <c r="E14" s="5">
        <v>145.41999999999999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2200</v>
      </c>
      <c r="R14" s="5"/>
      <c r="S14" s="5">
        <v>0</v>
      </c>
      <c r="T14" s="5"/>
      <c r="U14" s="5">
        <v>0</v>
      </c>
      <c r="V14" s="5"/>
      <c r="W14" s="5">
        <v>0</v>
      </c>
      <c r="X14" s="5"/>
      <c r="Y14" s="5">
        <v>0</v>
      </c>
      <c r="Z14" s="5"/>
      <c r="AA14" s="5">
        <v>0</v>
      </c>
      <c r="AB14" s="5"/>
      <c r="AC14" s="5">
        <v>9156.85</v>
      </c>
      <c r="AD14" s="5"/>
      <c r="AE14" s="5">
        <v>940</v>
      </c>
      <c r="AF14" s="5"/>
      <c r="AG14" s="5">
        <v>0</v>
      </c>
      <c r="AH14" s="5"/>
      <c r="AI14" s="5">
        <f>SUM(E14:AG14)</f>
        <v>12442.27</v>
      </c>
    </row>
    <row r="15" spans="1:35" x14ac:dyDescent="0.25">
      <c r="A15" s="4" t="s">
        <v>16</v>
      </c>
      <c r="C15" s="13">
        <v>0</v>
      </c>
      <c r="D15" s="5"/>
      <c r="E15" s="7">
        <v>0</v>
      </c>
      <c r="F15" s="5"/>
      <c r="G15" s="7">
        <v>0</v>
      </c>
      <c r="H15" s="5"/>
      <c r="I15" s="7">
        <v>0</v>
      </c>
      <c r="J15" s="5"/>
      <c r="K15" s="7">
        <v>0</v>
      </c>
      <c r="L15" s="5"/>
      <c r="M15" s="7">
        <v>0</v>
      </c>
      <c r="N15" s="5"/>
      <c r="O15" s="7">
        <v>0</v>
      </c>
      <c r="P15" s="5"/>
      <c r="Q15" s="7">
        <v>0</v>
      </c>
      <c r="R15" s="5"/>
      <c r="S15" s="7">
        <v>0</v>
      </c>
      <c r="T15" s="5"/>
      <c r="U15" s="7">
        <v>0</v>
      </c>
      <c r="V15" s="5"/>
      <c r="W15" s="7">
        <v>0</v>
      </c>
      <c r="X15" s="5"/>
      <c r="Y15" s="7">
        <v>0</v>
      </c>
      <c r="Z15" s="5"/>
      <c r="AA15" s="7">
        <v>0</v>
      </c>
      <c r="AB15" s="5"/>
      <c r="AC15" s="7">
        <v>0</v>
      </c>
      <c r="AD15" s="5"/>
      <c r="AE15" s="7">
        <v>0</v>
      </c>
      <c r="AF15" s="5"/>
      <c r="AG15" s="7">
        <v>0</v>
      </c>
      <c r="AH15" s="5"/>
      <c r="AI15" s="7">
        <f>SUM(E15:AG15)</f>
        <v>0</v>
      </c>
    </row>
    <row r="16" spans="1:35" x14ac:dyDescent="0.25">
      <c r="A16" s="1" t="s">
        <v>17</v>
      </c>
      <c r="C16" s="9">
        <f>SUM(C14:C15)</f>
        <v>0</v>
      </c>
      <c r="D16" s="6"/>
      <c r="E16" s="9">
        <f>SUM(E14:E15)</f>
        <v>145.41999999999999</v>
      </c>
      <c r="F16" s="6"/>
      <c r="G16" s="9">
        <f>SUM(G14:G15)</f>
        <v>0</v>
      </c>
      <c r="H16" s="6"/>
      <c r="I16" s="9">
        <f>SUM(I14:I15)</f>
        <v>0</v>
      </c>
      <c r="J16" s="6"/>
      <c r="K16" s="9">
        <f>SUM(K14:K15)</f>
        <v>0</v>
      </c>
      <c r="L16" s="6"/>
      <c r="M16" s="9">
        <f>SUM(M14:M15)</f>
        <v>0</v>
      </c>
      <c r="N16" s="6"/>
      <c r="O16" s="9">
        <f>SUM(O14:O15)</f>
        <v>0</v>
      </c>
      <c r="P16" s="6"/>
      <c r="Q16" s="9">
        <f>SUM(Q14:Q15)</f>
        <v>2200</v>
      </c>
      <c r="R16" s="6"/>
      <c r="S16" s="9">
        <f>SUM(S14:S15)</f>
        <v>0</v>
      </c>
      <c r="T16" s="6"/>
      <c r="U16" s="9">
        <f>SUM(U14:U15)</f>
        <v>0</v>
      </c>
      <c r="V16" s="6"/>
      <c r="W16" s="9">
        <f>SUM(W14:W15)</f>
        <v>0</v>
      </c>
      <c r="X16" s="6"/>
      <c r="Y16" s="9">
        <f>SUM(Y14:Y15)</f>
        <v>0</v>
      </c>
      <c r="Z16" s="6"/>
      <c r="AA16" s="9">
        <f>SUM(AA14:AA15)</f>
        <v>0</v>
      </c>
      <c r="AB16" s="6"/>
      <c r="AC16" s="9">
        <f>SUM(AC14:AC15)</f>
        <v>9156.85</v>
      </c>
      <c r="AD16" s="6"/>
      <c r="AE16" s="9">
        <f>SUM(AE14:AE15)</f>
        <v>940</v>
      </c>
      <c r="AF16" s="6"/>
      <c r="AG16" s="9">
        <f>SUM(AG14:AG15)</f>
        <v>0</v>
      </c>
      <c r="AH16" s="6"/>
      <c r="AI16" s="9">
        <f>SUM(AI14:AI15)</f>
        <v>12442.27</v>
      </c>
    </row>
    <row r="17" spans="1:36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x14ac:dyDescent="0.25">
      <c r="A18" s="1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x14ac:dyDescent="0.25">
      <c r="A19" s="4" t="s">
        <v>19</v>
      </c>
      <c r="C19" s="7">
        <v>0</v>
      </c>
      <c r="D19" s="5"/>
      <c r="E19" s="7">
        <v>0</v>
      </c>
      <c r="F19" s="5"/>
      <c r="G19" s="7">
        <v>0</v>
      </c>
      <c r="H19" s="5"/>
      <c r="I19" s="7">
        <v>0</v>
      </c>
      <c r="J19" s="5"/>
      <c r="K19" s="7">
        <v>0</v>
      </c>
      <c r="L19" s="5"/>
      <c r="M19" s="7">
        <v>0</v>
      </c>
      <c r="N19" s="5"/>
      <c r="O19" s="7">
        <v>0</v>
      </c>
      <c r="P19" s="5"/>
      <c r="Q19" s="7">
        <v>1071349.78</v>
      </c>
      <c r="R19" s="5"/>
      <c r="S19" s="7">
        <v>8389.42</v>
      </c>
      <c r="T19" s="5"/>
      <c r="U19" s="7">
        <v>0</v>
      </c>
      <c r="V19" s="5"/>
      <c r="W19" s="7">
        <v>0</v>
      </c>
      <c r="X19" s="5"/>
      <c r="Y19" s="7">
        <v>0</v>
      </c>
      <c r="Z19" s="5"/>
      <c r="AA19" s="7">
        <v>0</v>
      </c>
      <c r="AB19" s="5"/>
      <c r="AC19" s="7">
        <f>331672.04+502</f>
        <v>332174.03999999998</v>
      </c>
      <c r="AD19" s="5"/>
      <c r="AE19" s="7">
        <v>0</v>
      </c>
      <c r="AF19" s="5"/>
      <c r="AG19" s="7">
        <v>0</v>
      </c>
      <c r="AH19" s="5"/>
      <c r="AI19" s="7">
        <f>SUM(E19:AG19)</f>
        <v>1411913.24</v>
      </c>
    </row>
    <row r="20" spans="1:36" x14ac:dyDescent="0.25">
      <c r="A20" s="1" t="s">
        <v>20</v>
      </c>
      <c r="C20" s="9">
        <f>SUM(C19:C19)</f>
        <v>0</v>
      </c>
      <c r="D20" s="6"/>
      <c r="E20" s="9">
        <f>SUM(E19:E19)</f>
        <v>0</v>
      </c>
      <c r="F20" s="6"/>
      <c r="G20" s="9">
        <f>SUM(G19:G19)</f>
        <v>0</v>
      </c>
      <c r="H20" s="6"/>
      <c r="I20" s="9">
        <f>SUM(I19:I19)</f>
        <v>0</v>
      </c>
      <c r="J20" s="6"/>
      <c r="K20" s="9">
        <f>SUM(K19:K19)</f>
        <v>0</v>
      </c>
      <c r="L20" s="6"/>
      <c r="M20" s="9">
        <f>SUM(M19:M19)</f>
        <v>0</v>
      </c>
      <c r="N20" s="6"/>
      <c r="O20" s="9">
        <f>SUM(O19:O19)</f>
        <v>0</v>
      </c>
      <c r="P20" s="6"/>
      <c r="Q20" s="9">
        <f>SUM(Q19:Q19)</f>
        <v>1071349.78</v>
      </c>
      <c r="R20" s="6"/>
      <c r="S20" s="9">
        <f>SUM(S19:S19)</f>
        <v>8389.42</v>
      </c>
      <c r="T20" s="6"/>
      <c r="U20" s="9">
        <f>SUM(U19:U19)</f>
        <v>0</v>
      </c>
      <c r="V20" s="6"/>
      <c r="W20" s="9">
        <f>SUM(W19:W19)</f>
        <v>0</v>
      </c>
      <c r="X20" s="6"/>
      <c r="Y20" s="9">
        <f>SUM(Y19:Y19)</f>
        <v>0</v>
      </c>
      <c r="Z20" s="6"/>
      <c r="AA20" s="9">
        <f>SUM(AA19:AA19)</f>
        <v>0</v>
      </c>
      <c r="AB20" s="6"/>
      <c r="AC20" s="9">
        <f>SUM(AC19:AC19)</f>
        <v>332174.03999999998</v>
      </c>
      <c r="AD20" s="6"/>
      <c r="AE20" s="9">
        <f>SUM(AE19:AE19)</f>
        <v>0</v>
      </c>
      <c r="AF20" s="6"/>
      <c r="AG20" s="9">
        <f>SUM(AG19:AG19)</f>
        <v>0</v>
      </c>
      <c r="AH20" s="6"/>
      <c r="AI20" s="9">
        <f>SUM(AI19)</f>
        <v>1411913.24</v>
      </c>
    </row>
    <row r="21" spans="1:36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6" x14ac:dyDescent="0.25">
      <c r="A22" s="1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6" x14ac:dyDescent="0.25">
      <c r="A23" s="4" t="s">
        <v>22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6">
        <v>0</v>
      </c>
      <c r="Z23" s="6"/>
      <c r="AA23" s="6">
        <v>0</v>
      </c>
      <c r="AB23" s="6"/>
      <c r="AC23" s="6">
        <v>0</v>
      </c>
      <c r="AD23" s="6"/>
      <c r="AE23" s="6">
        <v>0</v>
      </c>
      <c r="AF23" s="6"/>
      <c r="AG23" s="6">
        <v>0</v>
      </c>
      <c r="AH23" s="6"/>
      <c r="AI23" s="6">
        <f t="shared" ref="AI23:AI27" si="0">SUM(E23:AG23)</f>
        <v>0</v>
      </c>
    </row>
    <row r="24" spans="1:36" x14ac:dyDescent="0.25">
      <c r="A24" s="4" t="s">
        <v>23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0</v>
      </c>
      <c r="R24" s="6"/>
      <c r="S24" s="6">
        <v>0</v>
      </c>
      <c r="T24" s="6"/>
      <c r="U24" s="6">
        <v>0</v>
      </c>
      <c r="V24" s="6"/>
      <c r="W24" s="6">
        <v>0</v>
      </c>
      <c r="X24" s="6"/>
      <c r="Y24" s="6">
        <v>0</v>
      </c>
      <c r="Z24" s="6"/>
      <c r="AA24" s="6">
        <v>0</v>
      </c>
      <c r="AB24" s="6"/>
      <c r="AC24" s="6">
        <v>0</v>
      </c>
      <c r="AD24" s="6"/>
      <c r="AE24" s="6">
        <v>0</v>
      </c>
      <c r="AF24" s="6"/>
      <c r="AG24" s="6">
        <v>0</v>
      </c>
      <c r="AH24" s="6"/>
      <c r="AI24" s="6">
        <f t="shared" si="0"/>
        <v>0</v>
      </c>
    </row>
    <row r="25" spans="1:36" x14ac:dyDescent="0.25">
      <c r="A25" s="4" t="s">
        <v>24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X25" s="6"/>
      <c r="Y25" s="6">
        <v>0</v>
      </c>
      <c r="Z25" s="6"/>
      <c r="AA25" s="6">
        <v>0</v>
      </c>
      <c r="AB25" s="6"/>
      <c r="AC25" s="6">
        <v>0</v>
      </c>
      <c r="AD25" s="6"/>
      <c r="AE25" s="6">
        <v>0</v>
      </c>
      <c r="AF25" s="6"/>
      <c r="AG25" s="6">
        <v>0</v>
      </c>
      <c r="AH25" s="6"/>
      <c r="AI25" s="6">
        <f t="shared" si="0"/>
        <v>0</v>
      </c>
    </row>
    <row r="26" spans="1:36" x14ac:dyDescent="0.25">
      <c r="A26" s="4" t="s">
        <v>25</v>
      </c>
      <c r="C26" s="6" t="e">
        <f>#REF!</f>
        <v>#REF!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6">
        <v>0</v>
      </c>
      <c r="Z26" s="6"/>
      <c r="AA26" s="6">
        <v>0</v>
      </c>
      <c r="AB26" s="6"/>
      <c r="AC26" s="6">
        <v>0</v>
      </c>
      <c r="AD26" s="6"/>
      <c r="AE26" s="6">
        <v>0</v>
      </c>
      <c r="AF26" s="6"/>
      <c r="AG26" s="6">
        <v>0</v>
      </c>
      <c r="AH26" s="6"/>
      <c r="AI26" s="6">
        <f t="shared" si="0"/>
        <v>0</v>
      </c>
    </row>
    <row r="27" spans="1:36" x14ac:dyDescent="0.25">
      <c r="A27" s="4" t="s">
        <v>26</v>
      </c>
      <c r="C27" s="6">
        <v>0</v>
      </c>
      <c r="D27" s="6"/>
      <c r="E27" s="6">
        <f>E66-SUM(E23:E25)</f>
        <v>6625.2900000000009</v>
      </c>
      <c r="F27" s="6"/>
      <c r="G27" s="6">
        <f>G66-SUM(G23:G25)</f>
        <v>44982</v>
      </c>
      <c r="H27" s="6"/>
      <c r="I27" s="6">
        <f>I66-SUM(I23:I25)</f>
        <v>215328.04</v>
      </c>
      <c r="J27" s="6"/>
      <c r="K27" s="6">
        <f>K66-SUM(K23:K25)</f>
        <v>1542.6</v>
      </c>
      <c r="L27" s="6"/>
      <c r="M27" s="6">
        <f>M66-SUM(M23:M25)</f>
        <v>1201</v>
      </c>
      <c r="N27" s="6"/>
      <c r="O27" s="6">
        <f>O66-SUM(O23:O25)</f>
        <v>17692.91</v>
      </c>
      <c r="P27" s="6"/>
      <c r="Q27" s="6">
        <f>Q66-SUM(Q23:Q25)</f>
        <v>-32909.03</v>
      </c>
      <c r="R27" s="6"/>
      <c r="S27" s="6">
        <f>S66-SUM(S23:S25)</f>
        <v>3558.21</v>
      </c>
      <c r="T27" s="6"/>
      <c r="U27" s="6">
        <f>U66-SUM(U23:U25)</f>
        <v>237</v>
      </c>
      <c r="V27" s="6"/>
      <c r="W27" s="6">
        <f>W66-SUM(W23:W25)</f>
        <v>6060.15</v>
      </c>
      <c r="X27" s="6"/>
      <c r="Y27" s="6">
        <f>Y66-SUM(Y23:Y25)</f>
        <v>3053.9700000000003</v>
      </c>
      <c r="Z27" s="6"/>
      <c r="AA27" s="6">
        <f>AA66-SUM(AA23:AA25)</f>
        <v>1357</v>
      </c>
      <c r="AB27" s="6"/>
      <c r="AC27" s="6">
        <f>AC66-SUM(AC23:AC25)</f>
        <v>-186248.61</v>
      </c>
      <c r="AD27" s="6"/>
      <c r="AE27" s="6">
        <f>AE66-SUM(AE23:AE25)</f>
        <v>-940</v>
      </c>
      <c r="AF27" s="6"/>
      <c r="AG27" s="6">
        <f>AG66-SUM(AG23:AG25)</f>
        <v>29500</v>
      </c>
      <c r="AH27" s="6"/>
      <c r="AI27" s="6">
        <f t="shared" si="0"/>
        <v>111040.52999999997</v>
      </c>
    </row>
    <row r="28" spans="1:36" x14ac:dyDescent="0.25">
      <c r="A28" s="1" t="s">
        <v>27</v>
      </c>
      <c r="C28" s="9" t="e">
        <f>SUM(C24:C27)</f>
        <v>#REF!</v>
      </c>
      <c r="D28" s="6"/>
      <c r="E28" s="9">
        <f>SUM(E24:E27)</f>
        <v>6625.2900000000009</v>
      </c>
      <c r="F28" s="6"/>
      <c r="G28" s="9">
        <f>SUM(G24:G27)</f>
        <v>44982</v>
      </c>
      <c r="H28" s="6"/>
      <c r="I28" s="9">
        <f>SUM(I24:I27)</f>
        <v>215328.04</v>
      </c>
      <c r="J28" s="6"/>
      <c r="K28" s="9">
        <f>SUM(K24:K27)</f>
        <v>1542.6</v>
      </c>
      <c r="L28" s="6"/>
      <c r="M28" s="9">
        <f>SUM(M24:M27)</f>
        <v>1201</v>
      </c>
      <c r="N28" s="6"/>
      <c r="O28" s="9">
        <f>SUM(O24:O27)</f>
        <v>17692.91</v>
      </c>
      <c r="P28" s="6"/>
      <c r="Q28" s="9">
        <f>SUM(Q24:Q27)</f>
        <v>-32909.03</v>
      </c>
      <c r="R28" s="6"/>
      <c r="S28" s="9">
        <f>SUM(S24:S27)</f>
        <v>3558.21</v>
      </c>
      <c r="T28" s="6"/>
      <c r="U28" s="9">
        <f>SUM(U24:U27)</f>
        <v>237</v>
      </c>
      <c r="V28" s="6"/>
      <c r="W28" s="9">
        <f>SUM(W24:W27)</f>
        <v>6060.15</v>
      </c>
      <c r="X28" s="6"/>
      <c r="Y28" s="9">
        <f>SUM(Y24:Y27)</f>
        <v>3053.9700000000003</v>
      </c>
      <c r="Z28" s="6"/>
      <c r="AA28" s="9">
        <f>SUM(AA24:AA27)</f>
        <v>1357</v>
      </c>
      <c r="AB28" s="6"/>
      <c r="AC28" s="9">
        <f>SUM(AC24:AC27)</f>
        <v>-186248.61</v>
      </c>
      <c r="AD28" s="6"/>
      <c r="AE28" s="9">
        <f>SUM(AE24:AE27)</f>
        <v>-940</v>
      </c>
      <c r="AF28" s="6"/>
      <c r="AG28" s="9">
        <f>SUM(AG24:AG27)</f>
        <v>29500</v>
      </c>
      <c r="AH28" s="6"/>
      <c r="AI28" s="9">
        <f>SUM(AI23:AI27)</f>
        <v>111040.52999999997</v>
      </c>
    </row>
    <row r="29" spans="1:36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6" x14ac:dyDescent="0.25">
      <c r="A30" s="1" t="s">
        <v>28</v>
      </c>
    </row>
    <row r="31" spans="1:36" ht="16.5" thickBot="1" x14ac:dyDescent="0.3">
      <c r="A31" s="4" t="s">
        <v>29</v>
      </c>
      <c r="C31" s="8" t="e">
        <f t="shared" ref="C31" si="1">+C16+C28+C20</f>
        <v>#REF!</v>
      </c>
      <c r="D31" s="5"/>
      <c r="E31" s="8">
        <f t="shared" ref="E31:G31" si="2">+E16+E28+E20</f>
        <v>6770.7100000000009</v>
      </c>
      <c r="F31" s="5"/>
      <c r="G31" s="8">
        <f t="shared" si="2"/>
        <v>44982</v>
      </c>
      <c r="H31" s="5"/>
      <c r="I31" s="8">
        <f t="shared" ref="I31" si="3">+I16+I28+I20</f>
        <v>215328.04</v>
      </c>
      <c r="J31" s="5"/>
      <c r="K31" s="8">
        <f t="shared" ref="K31" si="4">+K16+K28+K20</f>
        <v>1542.6</v>
      </c>
      <c r="L31" s="5"/>
      <c r="M31" s="8">
        <f t="shared" ref="M31" si="5">+M16+M28+M20</f>
        <v>1201</v>
      </c>
      <c r="N31" s="5"/>
      <c r="O31" s="8">
        <f t="shared" ref="O31" si="6">+O16+O28+O20</f>
        <v>17692.91</v>
      </c>
      <c r="P31" s="5"/>
      <c r="Q31" s="8">
        <f t="shared" ref="Q31" si="7">+Q16+Q28+Q20</f>
        <v>1040640.75</v>
      </c>
      <c r="R31" s="5"/>
      <c r="S31" s="8">
        <f t="shared" ref="S31" si="8">+S16+S28+S20</f>
        <v>11947.630000000001</v>
      </c>
      <c r="T31" s="5"/>
      <c r="U31" s="8">
        <f t="shared" ref="U31" si="9">+U16+U28+U20</f>
        <v>237</v>
      </c>
      <c r="V31" s="5"/>
      <c r="W31" s="8">
        <f t="shared" ref="W31" si="10">+W16+W28+W20</f>
        <v>6060.15</v>
      </c>
      <c r="X31" s="5"/>
      <c r="Y31" s="8">
        <f t="shared" ref="Y31" si="11">+Y16+Y28+Y20</f>
        <v>3053.9700000000003</v>
      </c>
      <c r="Z31" s="5"/>
      <c r="AA31" s="8">
        <f t="shared" ref="AA31" si="12">+AA16+AA28+AA20</f>
        <v>1357</v>
      </c>
      <c r="AB31" s="5"/>
      <c r="AC31" s="8">
        <f t="shared" ref="AC31" si="13">+AC16+AC28+AC20</f>
        <v>155082.28</v>
      </c>
      <c r="AD31" s="5"/>
      <c r="AE31" s="8">
        <f t="shared" ref="AE31" si="14">+AE16+AE28+AE20</f>
        <v>0</v>
      </c>
      <c r="AF31" s="5"/>
      <c r="AG31" s="8">
        <f t="shared" ref="AG31" si="15">+AG16+AG28+AG20</f>
        <v>29500</v>
      </c>
      <c r="AH31" s="5"/>
      <c r="AI31" s="8">
        <f t="shared" ref="AI31" si="16">+AI16+AI28+AI20</f>
        <v>1535396.04</v>
      </c>
      <c r="AJ31" s="5"/>
    </row>
    <row r="32" spans="1:36" ht="16.5" thickTop="1" x14ac:dyDescent="0.25"/>
    <row r="34" spans="1:35" x14ac:dyDescent="0.25">
      <c r="A34" s="10"/>
      <c r="B34" s="10"/>
      <c r="C34" s="11" t="e">
        <f>+C31-C11</f>
        <v>#REF!</v>
      </c>
      <c r="D34" s="10"/>
      <c r="E34" s="11">
        <f>+E31-E11</f>
        <v>0</v>
      </c>
      <c r="F34" s="10"/>
      <c r="G34" s="11">
        <f>+G31-G11</f>
        <v>8.999999999650754E-2</v>
      </c>
      <c r="H34" s="10"/>
      <c r="I34" s="11">
        <f>+I31-I11</f>
        <v>-0.19000000000232831</v>
      </c>
      <c r="J34" s="10"/>
      <c r="K34" s="11">
        <f>+K31-K11</f>
        <v>-0.28000000000020009</v>
      </c>
      <c r="L34" s="10"/>
      <c r="M34" s="11">
        <f>+M31-M11</f>
        <v>-0.15000000000009095</v>
      </c>
      <c r="N34" s="10"/>
      <c r="O34" s="11">
        <f>+O31-O11</f>
        <v>-0.34000000000014552</v>
      </c>
      <c r="P34" s="10"/>
      <c r="Q34" s="11">
        <f>+Q31-Q11</f>
        <v>0</v>
      </c>
      <c r="R34" s="10"/>
      <c r="S34" s="11">
        <f>+S31-S11</f>
        <v>0</v>
      </c>
      <c r="T34" s="10"/>
      <c r="U34" s="11">
        <f>+U31-U11</f>
        <v>-0.34000000000000341</v>
      </c>
      <c r="V34" s="10"/>
      <c r="W34" s="11">
        <f>+W31-W11</f>
        <v>3.999999999996362E-2</v>
      </c>
      <c r="X34" s="10"/>
      <c r="Y34" s="11">
        <f>+Y31-Y11</f>
        <v>-0.43999999999959982</v>
      </c>
      <c r="Z34" s="10"/>
      <c r="AA34" s="11">
        <f>+AA31-AA11</f>
        <v>0.31999999999993634</v>
      </c>
      <c r="AB34" s="10"/>
      <c r="AC34" s="11">
        <f>+AC31-AC11</f>
        <v>-0.11000000001513399</v>
      </c>
      <c r="AD34" s="10"/>
      <c r="AE34" s="11">
        <f>+AE31-AE11</f>
        <v>0</v>
      </c>
      <c r="AF34" s="10"/>
      <c r="AG34" s="11">
        <f>+AG31-AG11</f>
        <v>0</v>
      </c>
      <c r="AH34" s="10"/>
      <c r="AI34" s="11">
        <f>+AI31-AI11</f>
        <v>-0.39999999990686774</v>
      </c>
    </row>
    <row r="35" spans="1:35" x14ac:dyDescent="0.25">
      <c r="A35" s="10"/>
      <c r="B35" s="10"/>
      <c r="C35" s="11"/>
      <c r="D35" s="10"/>
      <c r="E35" s="11">
        <f>E28-E66</f>
        <v>0</v>
      </c>
      <c r="F35" s="10"/>
      <c r="G35" s="11">
        <f>G28-G66</f>
        <v>0</v>
      </c>
      <c r="H35" s="10"/>
      <c r="I35" s="11">
        <f>I28-I66</f>
        <v>0</v>
      </c>
      <c r="J35" s="10"/>
      <c r="K35" s="11">
        <f>K28-K66</f>
        <v>0</v>
      </c>
      <c r="L35" s="10"/>
      <c r="M35" s="11">
        <f>M28-M66</f>
        <v>0</v>
      </c>
      <c r="N35" s="10"/>
      <c r="O35" s="11">
        <f>O28-O66</f>
        <v>0</v>
      </c>
      <c r="P35" s="10"/>
      <c r="Q35" s="11">
        <f>Q28-Q66</f>
        <v>0</v>
      </c>
      <c r="R35" s="10"/>
      <c r="S35" s="11">
        <f>S28-S66</f>
        <v>0</v>
      </c>
      <c r="T35" s="10"/>
      <c r="U35" s="11">
        <f>U28-U66</f>
        <v>0</v>
      </c>
      <c r="V35" s="10"/>
      <c r="W35" s="11">
        <f>W28-W66</f>
        <v>0</v>
      </c>
      <c r="X35" s="10"/>
      <c r="Y35" s="11">
        <f>Y28-Y66</f>
        <v>0</v>
      </c>
      <c r="Z35" s="10"/>
      <c r="AA35" s="11">
        <f>AA28-AA66</f>
        <v>0</v>
      </c>
      <c r="AB35" s="10"/>
      <c r="AC35" s="11">
        <f>AC28-AC66</f>
        <v>0</v>
      </c>
      <c r="AD35" s="10"/>
      <c r="AE35" s="11">
        <f>AE28-AE66</f>
        <v>0</v>
      </c>
      <c r="AF35" s="10"/>
      <c r="AG35" s="11">
        <f>AG28-AG66</f>
        <v>0</v>
      </c>
      <c r="AH35" s="10"/>
      <c r="AI35" s="11">
        <f>AI28-AI66</f>
        <v>0</v>
      </c>
    </row>
    <row r="37" spans="1:35" x14ac:dyDescent="0.25">
      <c r="I37" s="2" t="s">
        <v>52</v>
      </c>
      <c r="K37" s="2" t="s">
        <v>53</v>
      </c>
      <c r="M37" s="2" t="s">
        <v>54</v>
      </c>
      <c r="O37" s="2" t="s">
        <v>54</v>
      </c>
      <c r="Q37" s="2"/>
      <c r="S37" s="2"/>
      <c r="U37" s="2" t="s">
        <v>68</v>
      </c>
      <c r="W37" s="2" t="s">
        <v>69</v>
      </c>
      <c r="X37" s="2"/>
      <c r="Y37" s="2" t="s">
        <v>69</v>
      </c>
      <c r="Z37" s="2"/>
      <c r="AA37" s="2" t="s">
        <v>70</v>
      </c>
      <c r="AB37" s="2"/>
      <c r="AC37" s="2"/>
      <c r="AD37" s="2"/>
      <c r="AE37" s="2"/>
      <c r="AF37" s="2"/>
      <c r="AG37" s="2" t="s">
        <v>71</v>
      </c>
      <c r="AH37" s="2"/>
      <c r="AI37" s="2"/>
    </row>
    <row r="38" spans="1:35" x14ac:dyDescent="0.25">
      <c r="C38" s="2" t="s">
        <v>55</v>
      </c>
      <c r="D38" s="2"/>
      <c r="E38" s="2"/>
      <c r="F38" s="2"/>
      <c r="G38" s="2" t="s">
        <v>56</v>
      </c>
      <c r="H38" s="2"/>
      <c r="I38" s="2" t="s">
        <v>57</v>
      </c>
      <c r="J38" s="2"/>
      <c r="K38" s="2" t="s">
        <v>58</v>
      </c>
      <c r="L38" s="2"/>
      <c r="M38" s="2" t="s">
        <v>59</v>
      </c>
      <c r="N38" s="2"/>
      <c r="O38" s="2" t="s">
        <v>60</v>
      </c>
      <c r="P38" s="2"/>
      <c r="Q38" s="17"/>
      <c r="S38" s="2"/>
      <c r="T38" s="2"/>
      <c r="U38" s="17" t="s">
        <v>72</v>
      </c>
      <c r="W38" s="2" t="s">
        <v>73</v>
      </c>
      <c r="X38" s="2"/>
      <c r="Y38" s="2" t="s">
        <v>74</v>
      </c>
      <c r="Z38" s="2"/>
      <c r="AA38" s="2" t="s">
        <v>75</v>
      </c>
      <c r="AB38" s="2"/>
      <c r="AC38" s="2" t="s">
        <v>76</v>
      </c>
      <c r="AD38" s="2"/>
      <c r="AE38" s="2"/>
      <c r="AF38" s="2"/>
      <c r="AG38" s="2" t="s">
        <v>77</v>
      </c>
      <c r="AH38" s="2"/>
      <c r="AI38" s="2"/>
    </row>
    <row r="39" spans="1:35" x14ac:dyDescent="0.25">
      <c r="C39" s="3" t="s">
        <v>61</v>
      </c>
      <c r="D39" s="2"/>
      <c r="E39" s="3" t="s">
        <v>62</v>
      </c>
      <c r="F39" s="2"/>
      <c r="G39" s="3" t="s">
        <v>63</v>
      </c>
      <c r="H39" s="2"/>
      <c r="I39" s="3" t="s">
        <v>63</v>
      </c>
      <c r="J39" s="2"/>
      <c r="K39" s="3" t="s">
        <v>64</v>
      </c>
      <c r="L39" s="2"/>
      <c r="M39" s="3" t="s">
        <v>63</v>
      </c>
      <c r="N39" s="2"/>
      <c r="O39" s="3" t="s">
        <v>63</v>
      </c>
      <c r="P39" s="2"/>
      <c r="Q39" s="18" t="s">
        <v>65</v>
      </c>
      <c r="S39" s="3" t="s">
        <v>66</v>
      </c>
      <c r="T39" s="2"/>
      <c r="U39" s="18" t="s">
        <v>63</v>
      </c>
      <c r="W39" s="3" t="s">
        <v>63</v>
      </c>
      <c r="X39" s="2"/>
      <c r="Y39" s="3" t="s">
        <v>63</v>
      </c>
      <c r="Z39" s="2"/>
      <c r="AA39" s="3" t="s">
        <v>63</v>
      </c>
      <c r="AB39" s="2"/>
      <c r="AC39" s="3" t="s">
        <v>63</v>
      </c>
      <c r="AD39" s="2"/>
      <c r="AE39" s="3" t="s">
        <v>78</v>
      </c>
      <c r="AF39" s="2"/>
      <c r="AG39" s="3" t="s">
        <v>79</v>
      </c>
      <c r="AH39" s="2"/>
      <c r="AI39" s="3" t="s">
        <v>80</v>
      </c>
    </row>
    <row r="41" spans="1:35" x14ac:dyDescent="0.25">
      <c r="A41" s="1" t="s">
        <v>30</v>
      </c>
    </row>
    <row r="42" spans="1:35" x14ac:dyDescent="0.25">
      <c r="A42" s="4" t="s">
        <v>31</v>
      </c>
      <c r="B42" s="4"/>
      <c r="C42" s="5">
        <v>0</v>
      </c>
      <c r="D42" s="5"/>
      <c r="E42" s="5">
        <v>0</v>
      </c>
      <c r="F42" s="5"/>
      <c r="G42" s="5">
        <v>14500</v>
      </c>
      <c r="H42" s="5"/>
      <c r="I42" s="5">
        <v>19073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158238.15</v>
      </c>
      <c r="R42" s="5"/>
      <c r="S42" s="5">
        <v>0</v>
      </c>
      <c r="T42" s="5"/>
      <c r="U42" s="5">
        <v>0</v>
      </c>
      <c r="V42" s="5"/>
      <c r="W42" s="5">
        <v>0</v>
      </c>
      <c r="X42" s="5"/>
      <c r="Y42" s="5">
        <v>0</v>
      </c>
      <c r="Z42" s="5"/>
      <c r="AA42" s="5">
        <v>0</v>
      </c>
      <c r="AB42" s="5"/>
      <c r="AC42" s="5">
        <f>1048.5+300+636.48+20000</f>
        <v>21984.98</v>
      </c>
      <c r="AD42" s="5"/>
      <c r="AE42" s="5">
        <v>0</v>
      </c>
      <c r="AF42" s="5"/>
      <c r="AG42" s="5">
        <v>0</v>
      </c>
      <c r="AH42" s="5"/>
      <c r="AI42" s="5">
        <f>SUM(E42:AG42)</f>
        <v>213796.13</v>
      </c>
    </row>
    <row r="43" spans="1:35" x14ac:dyDescent="0.25">
      <c r="A43" s="4" t="s">
        <v>32</v>
      </c>
      <c r="B43" s="4"/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4980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X43" s="6"/>
      <c r="Y43" s="6">
        <v>0</v>
      </c>
      <c r="Z43" s="6"/>
      <c r="AA43" s="6">
        <v>0</v>
      </c>
      <c r="AB43" s="6"/>
      <c r="AC43" s="6">
        <v>0</v>
      </c>
      <c r="AD43" s="6"/>
      <c r="AE43" s="6">
        <v>0</v>
      </c>
      <c r="AF43" s="6"/>
      <c r="AG43" s="6">
        <v>0</v>
      </c>
      <c r="AH43" s="6"/>
      <c r="AI43" s="6">
        <f>SUM(E43:AG43)</f>
        <v>4980</v>
      </c>
    </row>
    <row r="44" spans="1:35" x14ac:dyDescent="0.25">
      <c r="A44" s="4" t="s">
        <v>33</v>
      </c>
      <c r="B44" s="4"/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1.91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19.78</v>
      </c>
      <c r="X44" s="6"/>
      <c r="Y44" s="6">
        <v>0</v>
      </c>
      <c r="Z44" s="6"/>
      <c r="AA44" s="6">
        <v>0</v>
      </c>
      <c r="AB44" s="6"/>
      <c r="AC44" s="6">
        <v>0</v>
      </c>
      <c r="AD44" s="6"/>
      <c r="AE44" s="6">
        <v>0</v>
      </c>
      <c r="AF44" s="6"/>
      <c r="AG44" s="6">
        <v>0</v>
      </c>
      <c r="AH44" s="6"/>
      <c r="AI44" s="6">
        <f>SUM(E44:AG44)</f>
        <v>21.69</v>
      </c>
    </row>
    <row r="45" spans="1:35" x14ac:dyDescent="0.25">
      <c r="A45" s="4" t="s">
        <v>38</v>
      </c>
      <c r="B45" s="4"/>
      <c r="C45" s="6">
        <v>0</v>
      </c>
      <c r="D45" s="6"/>
      <c r="E45" s="6">
        <f>15208.65-4351</f>
        <v>10857.65</v>
      </c>
      <c r="F45" s="6"/>
      <c r="G45" s="6">
        <v>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0</v>
      </c>
      <c r="R45" s="6"/>
      <c r="S45" s="6">
        <v>3558.21</v>
      </c>
      <c r="T45" s="6"/>
      <c r="U45" s="6">
        <v>0</v>
      </c>
      <c r="V45" s="6"/>
      <c r="W45" s="6">
        <v>15508.59</v>
      </c>
      <c r="X45" s="6"/>
      <c r="Y45" s="6">
        <v>1531.79</v>
      </c>
      <c r="Z45" s="6"/>
      <c r="AA45" s="6">
        <v>0</v>
      </c>
      <c r="AB45" s="6"/>
      <c r="AC45" s="6">
        <v>0</v>
      </c>
      <c r="AD45" s="6"/>
      <c r="AE45" s="6">
        <v>0</v>
      </c>
      <c r="AF45" s="6"/>
      <c r="AG45" s="6">
        <v>0</v>
      </c>
      <c r="AH45" s="6"/>
      <c r="AI45" s="6">
        <f>SUM(E45:AG45)</f>
        <v>31456.240000000002</v>
      </c>
    </row>
    <row r="46" spans="1:35" x14ac:dyDescent="0.25">
      <c r="A46" s="1" t="s">
        <v>35</v>
      </c>
      <c r="C46" s="9">
        <f>SUM(C42:C45)</f>
        <v>0</v>
      </c>
      <c r="D46" s="6"/>
      <c r="E46" s="9">
        <f>SUM(E42:E45)</f>
        <v>10857.65</v>
      </c>
      <c r="F46" s="6"/>
      <c r="G46" s="9">
        <f>SUM(G42:G45)</f>
        <v>14500</v>
      </c>
      <c r="H46" s="6"/>
      <c r="I46" s="9">
        <f>SUM(I42:I45)</f>
        <v>19073</v>
      </c>
      <c r="J46" s="6"/>
      <c r="K46" s="9">
        <f>SUM(K42:K45)</f>
        <v>0</v>
      </c>
      <c r="L46" s="6"/>
      <c r="M46" s="9">
        <f>SUM(M42:M45)</f>
        <v>0</v>
      </c>
      <c r="N46" s="6"/>
      <c r="O46" s="9">
        <f>SUM(O42:O45)</f>
        <v>4981.91</v>
      </c>
      <c r="P46" s="6"/>
      <c r="Q46" s="9">
        <f>SUM(Q42:Q45)</f>
        <v>158238.15</v>
      </c>
      <c r="R46" s="6"/>
      <c r="S46" s="9">
        <f>SUM(S42:S45)</f>
        <v>3558.21</v>
      </c>
      <c r="T46" s="6"/>
      <c r="U46" s="9">
        <f>SUM(U42:U45)</f>
        <v>0</v>
      </c>
      <c r="V46" s="6"/>
      <c r="W46" s="9">
        <f>SUM(W42:W45)</f>
        <v>15528.37</v>
      </c>
      <c r="X46" s="6"/>
      <c r="Y46" s="9">
        <f>SUM(Y42:Y45)</f>
        <v>1531.79</v>
      </c>
      <c r="Z46" s="6"/>
      <c r="AA46" s="9">
        <f>SUM(AA42:AA45)</f>
        <v>0</v>
      </c>
      <c r="AB46" s="6"/>
      <c r="AC46" s="9">
        <f>SUM(AC42:AC45)</f>
        <v>21984.98</v>
      </c>
      <c r="AD46" s="6"/>
      <c r="AE46" s="9">
        <f>SUM(AE42:AE45)</f>
        <v>0</v>
      </c>
      <c r="AF46" s="6"/>
      <c r="AG46" s="9">
        <f>SUM(AG42:AG45)</f>
        <v>0</v>
      </c>
      <c r="AH46" s="6"/>
      <c r="AI46" s="9">
        <f>SUM(AI42:AI45)</f>
        <v>250254.06</v>
      </c>
    </row>
    <row r="47" spans="1:35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x14ac:dyDescent="0.25">
      <c r="A48" s="1" t="s">
        <v>36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x14ac:dyDescent="0.25">
      <c r="A49" s="4" t="s">
        <v>37</v>
      </c>
      <c r="B49" s="4"/>
      <c r="C49" s="6"/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0</v>
      </c>
      <c r="R49" s="6"/>
      <c r="S49" s="6">
        <v>0</v>
      </c>
      <c r="T49" s="6"/>
      <c r="U49" s="6">
        <v>0</v>
      </c>
      <c r="V49" s="6"/>
      <c r="W49" s="6">
        <v>0</v>
      </c>
      <c r="X49" s="6"/>
      <c r="Y49" s="6">
        <v>0</v>
      </c>
      <c r="Z49" s="6"/>
      <c r="AA49" s="6">
        <v>0</v>
      </c>
      <c r="AB49" s="6"/>
      <c r="AC49" s="6">
        <v>0</v>
      </c>
      <c r="AD49" s="6"/>
      <c r="AE49" s="6">
        <v>0</v>
      </c>
      <c r="AF49" s="6"/>
      <c r="AG49" s="6">
        <v>0</v>
      </c>
      <c r="AH49" s="6"/>
      <c r="AI49" s="6">
        <f>SUM(E49:AG49)</f>
        <v>0</v>
      </c>
    </row>
    <row r="50" spans="1:35" x14ac:dyDescent="0.25">
      <c r="A50" s="4" t="s">
        <v>38</v>
      </c>
      <c r="B50" s="4"/>
      <c r="C50" s="6">
        <v>0</v>
      </c>
      <c r="D50" s="6"/>
      <c r="E50" s="6">
        <f>8484.39+98.97</f>
        <v>8583.3599999999988</v>
      </c>
      <c r="F50" s="6"/>
      <c r="G50" s="6">
        <v>50</v>
      </c>
      <c r="H50" s="6"/>
      <c r="I50" s="6">
        <v>545.96</v>
      </c>
      <c r="J50" s="6"/>
      <c r="K50" s="6">
        <v>3862.4</v>
      </c>
      <c r="L50" s="6"/>
      <c r="M50" s="6">
        <v>0</v>
      </c>
      <c r="N50" s="6"/>
      <c r="O50" s="6">
        <v>0</v>
      </c>
      <c r="P50" s="6"/>
      <c r="Q50" s="6">
        <v>191147.18</v>
      </c>
      <c r="R50" s="6"/>
      <c r="S50" s="6">
        <v>0</v>
      </c>
      <c r="T50" s="6"/>
      <c r="U50" s="6">
        <v>0</v>
      </c>
      <c r="V50" s="6"/>
      <c r="W50" s="6">
        <v>20208.22</v>
      </c>
      <c r="X50" s="6"/>
      <c r="Y50" s="6">
        <v>1762.82</v>
      </c>
      <c r="Z50" s="6"/>
      <c r="AA50" s="6">
        <v>0</v>
      </c>
      <c r="AB50" s="6"/>
      <c r="AC50" s="6">
        <f>1048.5+300+636.48+20000+988.85+164034.2+29828.56</f>
        <v>216836.59</v>
      </c>
      <c r="AD50" s="6"/>
      <c r="AE50" s="6">
        <v>5940</v>
      </c>
      <c r="AF50" s="6"/>
      <c r="AG50" s="6">
        <v>0</v>
      </c>
      <c r="AH50" s="6"/>
      <c r="AI50" s="6">
        <f>SUM(E50:AG50)</f>
        <v>448936.53</v>
      </c>
    </row>
    <row r="51" spans="1:35" x14ac:dyDescent="0.25">
      <c r="A51" s="1" t="s">
        <v>39</v>
      </c>
      <c r="C51" s="9">
        <f>SUM(C50)</f>
        <v>0</v>
      </c>
      <c r="D51" s="6"/>
      <c r="E51" s="9">
        <f>SUM(E50)</f>
        <v>8583.3599999999988</v>
      </c>
      <c r="F51" s="6"/>
      <c r="G51" s="9">
        <f>SUM(G50)</f>
        <v>50</v>
      </c>
      <c r="H51" s="6"/>
      <c r="I51" s="9">
        <f>SUM(I50)</f>
        <v>545.96</v>
      </c>
      <c r="J51" s="6"/>
      <c r="K51" s="9">
        <f>SUM(K50)</f>
        <v>3862.4</v>
      </c>
      <c r="L51" s="6"/>
      <c r="M51" s="9">
        <f>SUM(M50)</f>
        <v>0</v>
      </c>
      <c r="N51" s="6"/>
      <c r="O51" s="9">
        <f>SUM(O50)</f>
        <v>0</v>
      </c>
      <c r="P51" s="6"/>
      <c r="Q51" s="9">
        <f>SUM(Q50)</f>
        <v>191147.18</v>
      </c>
      <c r="R51" s="6"/>
      <c r="S51" s="9">
        <f>SUM(S50)</f>
        <v>0</v>
      </c>
      <c r="T51" s="6"/>
      <c r="U51" s="9">
        <f>SUM(U50)</f>
        <v>0</v>
      </c>
      <c r="V51" s="6"/>
      <c r="W51" s="9">
        <f>SUM(W50)</f>
        <v>20208.22</v>
      </c>
      <c r="X51" s="6"/>
      <c r="Y51" s="9">
        <f>SUM(Y50)</f>
        <v>1762.82</v>
      </c>
      <c r="Z51" s="6"/>
      <c r="AA51" s="9">
        <f>SUM(AA50)</f>
        <v>0</v>
      </c>
      <c r="AB51" s="6"/>
      <c r="AC51" s="9">
        <f>SUM(AC50)</f>
        <v>216836.59</v>
      </c>
      <c r="AD51" s="6"/>
      <c r="AE51" s="9">
        <f>SUM(AE50)</f>
        <v>5940</v>
      </c>
      <c r="AF51" s="6"/>
      <c r="AG51" s="9">
        <f>SUM(AG50)</f>
        <v>0</v>
      </c>
      <c r="AH51" s="6"/>
      <c r="AI51" s="9">
        <f t="shared" ref="AI51" si="17">SUM(AI49:AI50)</f>
        <v>448936.53</v>
      </c>
    </row>
    <row r="52" spans="1:35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x14ac:dyDescent="0.25">
      <c r="A53" s="1" t="s">
        <v>40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5">
      <c r="A54" s="4" t="s">
        <v>41</v>
      </c>
      <c r="B54" s="4"/>
      <c r="C54" s="7">
        <f>+C46-C51</f>
        <v>0</v>
      </c>
      <c r="D54" s="6"/>
      <c r="E54" s="7">
        <f>+E46-E51</f>
        <v>2274.2900000000009</v>
      </c>
      <c r="F54" s="6"/>
      <c r="G54" s="7">
        <f>+G46-G51</f>
        <v>14450</v>
      </c>
      <c r="H54" s="6"/>
      <c r="I54" s="7">
        <f>+I46-I51</f>
        <v>18527.04</v>
      </c>
      <c r="J54" s="6"/>
      <c r="K54" s="7">
        <f>+K46-K51</f>
        <v>-3862.4</v>
      </c>
      <c r="L54" s="6"/>
      <c r="M54" s="7">
        <f>+M46-M51</f>
        <v>0</v>
      </c>
      <c r="N54" s="6"/>
      <c r="O54" s="7">
        <f>+O46-O51</f>
        <v>4981.91</v>
      </c>
      <c r="P54" s="6"/>
      <c r="Q54" s="7">
        <f>+Q46-Q51</f>
        <v>-32909.03</v>
      </c>
      <c r="R54" s="6"/>
      <c r="S54" s="7">
        <f>+S46-S51</f>
        <v>3558.21</v>
      </c>
      <c r="T54" s="6"/>
      <c r="U54" s="7">
        <f>+U46-U51</f>
        <v>0</v>
      </c>
      <c r="V54" s="6"/>
      <c r="W54" s="7">
        <f>+W46-W51</f>
        <v>-4679.8500000000004</v>
      </c>
      <c r="X54" s="6"/>
      <c r="Y54" s="7">
        <f>+Y46-Y51</f>
        <v>-231.02999999999997</v>
      </c>
      <c r="Z54" s="6"/>
      <c r="AA54" s="7">
        <f>+AA46-AA51</f>
        <v>0</v>
      </c>
      <c r="AB54" s="6"/>
      <c r="AC54" s="7">
        <f>+AC46-AC51</f>
        <v>-194851.61</v>
      </c>
      <c r="AD54" s="6"/>
      <c r="AE54" s="7">
        <f>+AE46-AE51</f>
        <v>-5940</v>
      </c>
      <c r="AF54" s="6"/>
      <c r="AG54" s="7">
        <f>+AG46-AG51</f>
        <v>0</v>
      </c>
      <c r="AH54" s="6"/>
      <c r="AI54" s="7">
        <f>+AI46-AI51</f>
        <v>-198682.47000000003</v>
      </c>
    </row>
    <row r="55" spans="1:3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x14ac:dyDescent="0.25">
      <c r="A56" s="1" t="s">
        <v>42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x14ac:dyDescent="0.25">
      <c r="A57" s="4" t="s">
        <v>44</v>
      </c>
      <c r="B57" s="4"/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0</v>
      </c>
      <c r="R57" s="6"/>
      <c r="S57" s="6">
        <v>0</v>
      </c>
      <c r="T57" s="6"/>
      <c r="U57" s="6">
        <v>0</v>
      </c>
      <c r="V57" s="6"/>
      <c r="W57" s="6">
        <v>0</v>
      </c>
      <c r="X57" s="6"/>
      <c r="Y57" s="6">
        <v>0</v>
      </c>
      <c r="Z57" s="6"/>
      <c r="AA57" s="6">
        <v>0</v>
      </c>
      <c r="AB57" s="6"/>
      <c r="AC57" s="6">
        <v>0</v>
      </c>
      <c r="AD57" s="6"/>
      <c r="AE57" s="6">
        <v>5000</v>
      </c>
      <c r="AF57" s="6"/>
      <c r="AG57" s="6">
        <v>0</v>
      </c>
      <c r="AH57" s="6"/>
      <c r="AI57" s="6">
        <f>SUM(E57:AG57)</f>
        <v>5000</v>
      </c>
    </row>
    <row r="58" spans="1:35" x14ac:dyDescent="0.25">
      <c r="A58" s="4" t="s">
        <v>45</v>
      </c>
      <c r="B58" s="4"/>
      <c r="C58" s="7">
        <v>0</v>
      </c>
      <c r="D58" s="6"/>
      <c r="E58" s="7">
        <v>0</v>
      </c>
      <c r="F58" s="6"/>
      <c r="G58" s="7">
        <v>0</v>
      </c>
      <c r="H58" s="6"/>
      <c r="I58" s="7">
        <v>0</v>
      </c>
      <c r="J58" s="6"/>
      <c r="K58" s="7">
        <v>0</v>
      </c>
      <c r="L58" s="6"/>
      <c r="M58" s="7">
        <v>0</v>
      </c>
      <c r="N58" s="6"/>
      <c r="O58" s="7">
        <v>0</v>
      </c>
      <c r="P58" s="6"/>
      <c r="Q58" s="7">
        <v>0</v>
      </c>
      <c r="R58" s="6"/>
      <c r="S58" s="7">
        <v>0</v>
      </c>
      <c r="T58" s="6"/>
      <c r="U58" s="7">
        <v>0</v>
      </c>
      <c r="V58" s="6"/>
      <c r="W58" s="7">
        <v>0</v>
      </c>
      <c r="X58" s="6"/>
      <c r="Y58" s="7">
        <v>0</v>
      </c>
      <c r="Z58" s="6"/>
      <c r="AA58" s="7">
        <v>0</v>
      </c>
      <c r="AB58" s="6"/>
      <c r="AC58" s="7">
        <v>0</v>
      </c>
      <c r="AD58" s="6"/>
      <c r="AE58" s="7">
        <v>0</v>
      </c>
      <c r="AF58" s="6"/>
      <c r="AG58" s="7">
        <v>0</v>
      </c>
      <c r="AH58" s="6"/>
      <c r="AI58" s="7">
        <f>SUM(E58:AG58)</f>
        <v>0</v>
      </c>
    </row>
    <row r="59" spans="1:35" x14ac:dyDescent="0.25">
      <c r="A59" s="1" t="s">
        <v>46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x14ac:dyDescent="0.25">
      <c r="A60" s="4" t="s">
        <v>47</v>
      </c>
      <c r="B60" s="4"/>
      <c r="C60" s="7">
        <f>SUM(C57:C58)</f>
        <v>0</v>
      </c>
      <c r="D60" s="6"/>
      <c r="E60" s="7">
        <f>SUM(E57:E58)</f>
        <v>0</v>
      </c>
      <c r="F60" s="6"/>
      <c r="G60" s="7">
        <f>SUM(G57:G58)</f>
        <v>0</v>
      </c>
      <c r="H60" s="6"/>
      <c r="I60" s="7">
        <f>SUM(I57:I58)</f>
        <v>0</v>
      </c>
      <c r="J60" s="6"/>
      <c r="K60" s="7">
        <f>SUM(K57:K58)</f>
        <v>0</v>
      </c>
      <c r="L60" s="6"/>
      <c r="M60" s="7">
        <f>SUM(M57:M58)</f>
        <v>0</v>
      </c>
      <c r="N60" s="6"/>
      <c r="O60" s="7">
        <f>SUM(O57:O58)</f>
        <v>0</v>
      </c>
      <c r="P60" s="6"/>
      <c r="Q60" s="7">
        <f>SUM(Q57:Q58)</f>
        <v>0</v>
      </c>
      <c r="R60" s="6"/>
      <c r="S60" s="7">
        <f>SUM(S57:S58)</f>
        <v>0</v>
      </c>
      <c r="T60" s="6"/>
      <c r="U60" s="7">
        <f>SUM(U57:U58)</f>
        <v>0</v>
      </c>
      <c r="V60" s="6"/>
      <c r="W60" s="7">
        <f>SUM(W57:W58)</f>
        <v>0</v>
      </c>
      <c r="X60" s="6"/>
      <c r="Y60" s="7">
        <f>SUM(Y57:Y58)</f>
        <v>0</v>
      </c>
      <c r="Z60" s="6"/>
      <c r="AA60" s="7">
        <f>SUM(AA57:AA58)</f>
        <v>0</v>
      </c>
      <c r="AB60" s="6"/>
      <c r="AC60" s="7">
        <f>SUM(AC57:AC58)</f>
        <v>0</v>
      </c>
      <c r="AD60" s="6"/>
      <c r="AE60" s="7">
        <f>SUM(AE57:AE58)</f>
        <v>5000</v>
      </c>
      <c r="AF60" s="6"/>
      <c r="AG60" s="7">
        <f>SUM(AG57:AG58)</f>
        <v>0</v>
      </c>
      <c r="AH60" s="6"/>
      <c r="AI60" s="7">
        <f>SUM(AI57:AI58)</f>
        <v>5000</v>
      </c>
    </row>
    <row r="61" spans="1:3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x14ac:dyDescent="0.25">
      <c r="A62" s="1" t="s">
        <v>48</v>
      </c>
      <c r="C62" s="6">
        <f>+C54+C60</f>
        <v>0</v>
      </c>
      <c r="D62" s="6"/>
      <c r="E62" s="6">
        <f>+E54+E60</f>
        <v>2274.2900000000009</v>
      </c>
      <c r="F62" s="6"/>
      <c r="G62" s="6">
        <f>+G54+G60</f>
        <v>14450</v>
      </c>
      <c r="H62" s="6"/>
      <c r="I62" s="6">
        <f>+I54+I60</f>
        <v>18527.04</v>
      </c>
      <c r="J62" s="6"/>
      <c r="K62" s="6">
        <f>+K54+K60</f>
        <v>-3862.4</v>
      </c>
      <c r="L62" s="6"/>
      <c r="M62" s="6">
        <f>+M54+M60</f>
        <v>0</v>
      </c>
      <c r="N62" s="6"/>
      <c r="O62" s="6">
        <f>+O54+O60</f>
        <v>4981.91</v>
      </c>
      <c r="P62" s="6"/>
      <c r="Q62" s="6">
        <f>+Q54+Q60</f>
        <v>-32909.03</v>
      </c>
      <c r="R62" s="6"/>
      <c r="S62" s="6">
        <f>+S54+S60</f>
        <v>3558.21</v>
      </c>
      <c r="T62" s="6"/>
      <c r="U62" s="6">
        <f>+U54+U60</f>
        <v>0</v>
      </c>
      <c r="V62" s="6"/>
      <c r="W62" s="6">
        <f>+W54+W60</f>
        <v>-4679.8500000000004</v>
      </c>
      <c r="X62" s="6"/>
      <c r="Y62" s="6">
        <f>+Y54+Y60</f>
        <v>-231.02999999999997</v>
      </c>
      <c r="Z62" s="6"/>
      <c r="AA62" s="6">
        <f>+AA54+AA60</f>
        <v>0</v>
      </c>
      <c r="AB62" s="6"/>
      <c r="AC62" s="6">
        <f>+AC54+AC60</f>
        <v>-194851.61</v>
      </c>
      <c r="AD62" s="6"/>
      <c r="AE62" s="6">
        <f>+AE54+AE60</f>
        <v>-940</v>
      </c>
      <c r="AF62" s="6"/>
      <c r="AG62" s="6">
        <f>+AG54+AG60</f>
        <v>0</v>
      </c>
      <c r="AH62" s="6"/>
      <c r="AI62" s="6">
        <f>+AI54+AI60</f>
        <v>-193682.47000000003</v>
      </c>
    </row>
    <row r="63" spans="1:35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x14ac:dyDescent="0.25">
      <c r="A64" s="1" t="s">
        <v>49</v>
      </c>
      <c r="C64" s="7">
        <v>0</v>
      </c>
      <c r="D64" s="6"/>
      <c r="E64" s="7">
        <v>4351</v>
      </c>
      <c r="F64" s="6"/>
      <c r="G64" s="7">
        <v>30532</v>
      </c>
      <c r="H64" s="6"/>
      <c r="I64" s="7">
        <v>196801</v>
      </c>
      <c r="J64" s="6"/>
      <c r="K64" s="7">
        <v>5405</v>
      </c>
      <c r="L64" s="6"/>
      <c r="M64" s="7">
        <v>1201</v>
      </c>
      <c r="N64" s="6"/>
      <c r="O64" s="7">
        <v>12711</v>
      </c>
      <c r="P64" s="6"/>
      <c r="Q64" s="7">
        <v>0</v>
      </c>
      <c r="R64" s="6"/>
      <c r="S64" s="7">
        <v>0</v>
      </c>
      <c r="T64" s="6"/>
      <c r="U64" s="7">
        <v>237</v>
      </c>
      <c r="V64" s="6"/>
      <c r="W64" s="7">
        <v>10740</v>
      </c>
      <c r="X64" s="6"/>
      <c r="Y64" s="7">
        <v>3285</v>
      </c>
      <c r="Z64" s="6"/>
      <c r="AA64" s="7">
        <v>1357</v>
      </c>
      <c r="AB64" s="6"/>
      <c r="AC64" s="7">
        <v>8603</v>
      </c>
      <c r="AD64" s="6"/>
      <c r="AE64" s="7">
        <v>0</v>
      </c>
      <c r="AF64" s="6"/>
      <c r="AG64" s="7">
        <v>29500</v>
      </c>
      <c r="AH64" s="6"/>
      <c r="AI64" s="7">
        <f>SUM(E64:AG64)</f>
        <v>304723</v>
      </c>
    </row>
    <row r="65" spans="1:35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6.5" thickBot="1" x14ac:dyDescent="0.3">
      <c r="A66" s="1" t="s">
        <v>50</v>
      </c>
      <c r="C66" s="8">
        <f>SUM(C62:C65)</f>
        <v>0</v>
      </c>
      <c r="D66" s="5"/>
      <c r="E66" s="8">
        <f>SUM(E62:E65)</f>
        <v>6625.2900000000009</v>
      </c>
      <c r="F66" s="5"/>
      <c r="G66" s="8">
        <f>SUM(G62:G65)</f>
        <v>44982</v>
      </c>
      <c r="H66" s="5"/>
      <c r="I66" s="8">
        <f>SUM(I62:I65)</f>
        <v>215328.04</v>
      </c>
      <c r="J66" s="5"/>
      <c r="K66" s="8">
        <f>SUM(K62:K65)</f>
        <v>1542.6</v>
      </c>
      <c r="L66" s="5"/>
      <c r="M66" s="8">
        <f>SUM(M62:M65)</f>
        <v>1201</v>
      </c>
      <c r="N66" s="5"/>
      <c r="O66" s="8">
        <f>SUM(O62:O65)</f>
        <v>17692.91</v>
      </c>
      <c r="P66" s="5"/>
      <c r="Q66" s="8">
        <f>SUM(Q62:Q65)</f>
        <v>-32909.03</v>
      </c>
      <c r="S66" s="8">
        <f>SUM(S62:S65)</f>
        <v>3558.21</v>
      </c>
      <c r="T66" s="5"/>
      <c r="U66" s="8">
        <f>SUM(U62:U65)</f>
        <v>237</v>
      </c>
      <c r="V66" s="5"/>
      <c r="W66" s="8">
        <f>SUM(W62:W65)</f>
        <v>6060.15</v>
      </c>
      <c r="X66" s="5"/>
      <c r="Y66" s="8">
        <f>SUM(Y62:Y65)</f>
        <v>3053.9700000000003</v>
      </c>
      <c r="Z66" s="5"/>
      <c r="AA66" s="8">
        <f>SUM(AA62:AA65)</f>
        <v>1357</v>
      </c>
      <c r="AB66" s="5"/>
      <c r="AC66" s="8">
        <f>SUM(AC62:AC65)</f>
        <v>-186248.61</v>
      </c>
      <c r="AD66" s="5"/>
      <c r="AE66" s="8">
        <f>SUM(AE62:AE65)</f>
        <v>-940</v>
      </c>
      <c r="AF66" s="5"/>
      <c r="AG66" s="8">
        <f>SUM(AG62:AG65)</f>
        <v>29500</v>
      </c>
      <c r="AH66" s="5"/>
      <c r="AI66" s="8">
        <f>SUM(AI62:AI65)</f>
        <v>111040.52999999997</v>
      </c>
    </row>
    <row r="67" spans="1:35" ht="16.5" thickTop="1" x14ac:dyDescent="0.25"/>
    <row r="68" spans="1:35" x14ac:dyDescent="0.25">
      <c r="N68" s="1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E19C-8F64-4A7E-9164-4F74FF41041F}">
  <sheetPr>
    <tabColor rgb="FF002060"/>
  </sheetPr>
  <dimension ref="A1:X62"/>
  <sheetViews>
    <sheetView showGridLines="0" workbookViewId="0">
      <selection activeCell="X52" sqref="X52"/>
    </sheetView>
  </sheetViews>
  <sheetFormatPr defaultColWidth="9.140625" defaultRowHeight="15.75" x14ac:dyDescent="0.25"/>
  <cols>
    <col min="1" max="1" width="40" style="1" bestFit="1" customWidth="1"/>
    <col min="2" max="2" width="14.7109375" style="1" customWidth="1"/>
    <col min="3" max="3" width="0.85546875" style="1" customWidth="1"/>
    <col min="4" max="4" width="14.7109375" style="1" customWidth="1"/>
    <col min="5" max="5" width="0.85546875" style="1" customWidth="1"/>
    <col min="6" max="6" width="14.7109375" style="1" customWidth="1"/>
    <col min="7" max="7" width="0.85546875" style="1" customWidth="1"/>
    <col min="8" max="8" width="14.710937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14.7109375" style="1" customWidth="1"/>
    <col min="13" max="13" width="0.85546875" style="1" customWidth="1"/>
    <col min="14" max="14" width="14.7109375" style="1" customWidth="1"/>
    <col min="15" max="15" width="0.85546875" style="1" customWidth="1"/>
    <col min="16" max="16" width="14.7109375" style="1" customWidth="1"/>
    <col min="17" max="17" width="0.85546875" style="1" customWidth="1"/>
    <col min="18" max="18" width="14.7109375" style="1" customWidth="1"/>
    <col min="19" max="19" width="0.85546875" style="1" customWidth="1"/>
    <col min="20" max="20" width="14.7109375" style="1" customWidth="1"/>
    <col min="21" max="21" width="0.85546875" style="1" customWidth="1"/>
    <col min="22" max="22" width="14.7109375" style="1" customWidth="1"/>
    <col min="23" max="23" width="0.85546875" style="1" customWidth="1"/>
    <col min="24" max="24" width="14.28515625" style="1" bestFit="1" customWidth="1"/>
    <col min="25" max="25" width="1" style="1" customWidth="1"/>
    <col min="26" max="16384" width="9.140625" style="1"/>
  </cols>
  <sheetData>
    <row r="1" spans="1:24" x14ac:dyDescent="0.25">
      <c r="A1" s="1" t="s">
        <v>119</v>
      </c>
      <c r="F1" s="1">
        <v>52</v>
      </c>
      <c r="H1" s="1">
        <v>53</v>
      </c>
      <c r="J1" s="1">
        <v>54</v>
      </c>
      <c r="L1" s="1">
        <v>60</v>
      </c>
      <c r="N1" s="1">
        <v>55</v>
      </c>
      <c r="R1" s="1">
        <v>59</v>
      </c>
      <c r="T1" s="1">
        <v>63</v>
      </c>
    </row>
    <row r="2" spans="1:24" x14ac:dyDescent="0.25">
      <c r="A2" s="1" t="s">
        <v>123</v>
      </c>
      <c r="B2" s="2" t="s">
        <v>81</v>
      </c>
      <c r="C2" s="2"/>
      <c r="D2" s="2" t="s">
        <v>82</v>
      </c>
      <c r="E2" s="2"/>
      <c r="F2" s="2" t="s">
        <v>83</v>
      </c>
      <c r="G2" s="2"/>
      <c r="H2" s="2" t="s">
        <v>84</v>
      </c>
      <c r="I2" s="2"/>
      <c r="J2" s="2" t="s">
        <v>84</v>
      </c>
      <c r="K2" s="2"/>
      <c r="L2" s="2" t="s">
        <v>85</v>
      </c>
      <c r="M2" s="2"/>
      <c r="N2" s="2" t="s">
        <v>91</v>
      </c>
      <c r="O2" s="2"/>
      <c r="P2" s="2" t="s">
        <v>92</v>
      </c>
      <c r="Q2" s="2"/>
      <c r="R2" s="2" t="s">
        <v>93</v>
      </c>
      <c r="S2" s="2"/>
      <c r="T2" s="2" t="s">
        <v>94</v>
      </c>
      <c r="U2" s="2"/>
      <c r="V2" s="2"/>
      <c r="W2" s="2"/>
      <c r="X2" s="2"/>
    </row>
    <row r="3" spans="1:24" x14ac:dyDescent="0.25">
      <c r="A3" s="1" t="s">
        <v>121</v>
      </c>
      <c r="B3" s="2" t="s">
        <v>86</v>
      </c>
      <c r="C3" s="2"/>
      <c r="D3" s="2" t="s">
        <v>87</v>
      </c>
      <c r="E3" s="2"/>
      <c r="F3" s="2" t="s">
        <v>87</v>
      </c>
      <c r="G3" s="2"/>
      <c r="H3" s="2" t="s">
        <v>87</v>
      </c>
      <c r="I3" s="2"/>
      <c r="J3" s="2" t="s">
        <v>88</v>
      </c>
      <c r="K3" s="2"/>
      <c r="L3" s="2" t="s">
        <v>87</v>
      </c>
      <c r="M3" s="2"/>
      <c r="N3" s="2" t="s">
        <v>87</v>
      </c>
      <c r="O3" s="2"/>
      <c r="P3" s="2" t="s">
        <v>95</v>
      </c>
      <c r="Q3" s="2"/>
      <c r="R3" s="2" t="s">
        <v>87</v>
      </c>
      <c r="S3" s="2"/>
      <c r="T3" s="2" t="s">
        <v>96</v>
      </c>
      <c r="U3" s="2"/>
      <c r="V3" s="2" t="s">
        <v>97</v>
      </c>
      <c r="W3" s="2"/>
      <c r="X3" s="2"/>
    </row>
    <row r="4" spans="1:24" x14ac:dyDescent="0.25">
      <c r="B4" s="3" t="s">
        <v>63</v>
      </c>
      <c r="C4" s="2"/>
      <c r="D4" s="3" t="s">
        <v>63</v>
      </c>
      <c r="E4" s="2"/>
      <c r="F4" s="3" t="s">
        <v>63</v>
      </c>
      <c r="G4" s="2"/>
      <c r="H4" s="3" t="s">
        <v>63</v>
      </c>
      <c r="I4" s="2"/>
      <c r="J4" s="3" t="s">
        <v>63</v>
      </c>
      <c r="K4" s="2"/>
      <c r="L4" s="3" t="s">
        <v>63</v>
      </c>
      <c r="M4" s="2"/>
      <c r="N4" s="3" t="s">
        <v>63</v>
      </c>
      <c r="O4" s="2"/>
      <c r="P4" s="3" t="s">
        <v>98</v>
      </c>
      <c r="Q4" s="2"/>
      <c r="R4" s="3" t="s">
        <v>63</v>
      </c>
      <c r="S4" s="2"/>
      <c r="T4" s="3" t="s">
        <v>63</v>
      </c>
      <c r="U4" s="2"/>
      <c r="V4" s="3" t="s">
        <v>63</v>
      </c>
      <c r="W4" s="2"/>
      <c r="X4" s="3" t="s">
        <v>80</v>
      </c>
    </row>
    <row r="5" spans="1:24" x14ac:dyDescent="0.25">
      <c r="A5" s="1" t="s">
        <v>7</v>
      </c>
    </row>
    <row r="6" spans="1:24" x14ac:dyDescent="0.25">
      <c r="A6" s="4" t="s">
        <v>8</v>
      </c>
      <c r="B6" s="5">
        <v>0</v>
      </c>
      <c r="C6" s="15"/>
      <c r="D6" s="5">
        <v>0</v>
      </c>
      <c r="E6" s="15"/>
      <c r="F6" s="5">
        <v>0</v>
      </c>
      <c r="G6" s="15"/>
      <c r="H6" s="5">
        <v>0</v>
      </c>
      <c r="I6" s="15"/>
      <c r="J6" s="5">
        <v>0</v>
      </c>
      <c r="K6" s="15"/>
      <c r="L6" s="5">
        <v>0</v>
      </c>
      <c r="M6" s="5"/>
      <c r="N6" s="5">
        <v>0</v>
      </c>
      <c r="O6" s="15"/>
      <c r="P6" s="5">
        <v>0</v>
      </c>
      <c r="Q6" s="15"/>
      <c r="R6" s="5">
        <v>0</v>
      </c>
      <c r="S6" s="15"/>
      <c r="T6" s="5">
        <v>0</v>
      </c>
      <c r="U6" s="15"/>
      <c r="V6" s="5">
        <v>0</v>
      </c>
      <c r="W6" s="5"/>
      <c r="X6" s="5">
        <f t="shared" ref="X6:X7" si="0">SUM(B6:V6)</f>
        <v>0</v>
      </c>
    </row>
    <row r="7" spans="1:24" x14ac:dyDescent="0.25">
      <c r="A7" s="4" t="s">
        <v>9</v>
      </c>
      <c r="B7" s="6">
        <v>0</v>
      </c>
      <c r="C7" s="6"/>
      <c r="D7" s="6">
        <v>0</v>
      </c>
      <c r="E7" s="6"/>
      <c r="F7" s="6">
        <v>0</v>
      </c>
      <c r="G7" s="6"/>
      <c r="H7" s="6">
        <v>0</v>
      </c>
      <c r="I7" s="6"/>
      <c r="J7" s="6">
        <v>0</v>
      </c>
      <c r="K7" s="6"/>
      <c r="L7" s="6">
        <v>0</v>
      </c>
      <c r="M7" s="6"/>
      <c r="N7" s="6">
        <v>0</v>
      </c>
      <c r="O7" s="6"/>
      <c r="P7" s="6">
        <v>0</v>
      </c>
      <c r="Q7" s="6"/>
      <c r="R7" s="6">
        <v>0</v>
      </c>
      <c r="S7" s="6"/>
      <c r="T7" s="6">
        <v>0</v>
      </c>
      <c r="U7" s="6"/>
      <c r="V7" s="6">
        <v>0</v>
      </c>
      <c r="W7" s="6"/>
      <c r="X7" s="6">
        <f t="shared" si="0"/>
        <v>0</v>
      </c>
    </row>
    <row r="8" spans="1:24" x14ac:dyDescent="0.25">
      <c r="A8" s="4" t="s">
        <v>12</v>
      </c>
      <c r="B8" s="13">
        <v>25199.15</v>
      </c>
      <c r="C8" s="6"/>
      <c r="D8" s="13">
        <v>40783</v>
      </c>
      <c r="E8" s="6"/>
      <c r="F8" s="13">
        <v>61026.77</v>
      </c>
      <c r="G8" s="6"/>
      <c r="H8" s="13">
        <v>43247.13</v>
      </c>
      <c r="I8" s="6"/>
      <c r="J8" s="13">
        <v>33356.68</v>
      </c>
      <c r="K8" s="6"/>
      <c r="L8" s="13">
        <v>65000</v>
      </c>
      <c r="M8" s="6"/>
      <c r="N8" s="13">
        <v>0.04</v>
      </c>
      <c r="O8" s="6"/>
      <c r="P8" s="13">
        <v>418926.35</v>
      </c>
      <c r="Q8" s="6"/>
      <c r="R8" s="13">
        <v>29015.599999999999</v>
      </c>
      <c r="S8" s="6"/>
      <c r="T8" s="13">
        <v>7069.21</v>
      </c>
      <c r="U8" s="6"/>
      <c r="V8" s="13">
        <v>293398.7</v>
      </c>
      <c r="W8" s="6"/>
      <c r="X8" s="13">
        <f>SUM(B8:V8)</f>
        <v>1017022.6299999999</v>
      </c>
    </row>
    <row r="9" spans="1:24" ht="16.5" thickBot="1" x14ac:dyDescent="0.3">
      <c r="A9" s="1" t="s">
        <v>13</v>
      </c>
      <c r="B9" s="8">
        <f>SUM(B6:B8)</f>
        <v>25199.15</v>
      </c>
      <c r="C9" s="5"/>
      <c r="D9" s="8">
        <f>SUM(D6:D8)</f>
        <v>40783</v>
      </c>
      <c r="E9" s="5"/>
      <c r="F9" s="8">
        <f>SUM(F6:F8)</f>
        <v>61026.77</v>
      </c>
      <c r="G9" s="5"/>
      <c r="H9" s="8">
        <f>SUM(H6:H8)</f>
        <v>43247.13</v>
      </c>
      <c r="I9" s="5"/>
      <c r="J9" s="8">
        <f>SUM(J6:J8)</f>
        <v>33356.68</v>
      </c>
      <c r="K9" s="5"/>
      <c r="L9" s="8">
        <f>SUM(L6:L8)</f>
        <v>65000</v>
      </c>
      <c r="M9" s="5"/>
      <c r="N9" s="8">
        <f>SUM(N6:N8)</f>
        <v>0.04</v>
      </c>
      <c r="O9" s="5"/>
      <c r="P9" s="8">
        <f>SUM(P6:P8)</f>
        <v>418926.35</v>
      </c>
      <c r="Q9" s="5"/>
      <c r="R9" s="8">
        <f>SUM(R6:R8)</f>
        <v>29015.599999999999</v>
      </c>
      <c r="S9" s="5"/>
      <c r="T9" s="8">
        <f>SUM(T6:T8)</f>
        <v>7069.21</v>
      </c>
      <c r="U9" s="5"/>
      <c r="V9" s="8">
        <f>SUM(V6:V8)</f>
        <v>293398.7</v>
      </c>
      <c r="W9" s="5"/>
      <c r="X9" s="8">
        <f>SUM(N9:W9)+'Capital Projects'!AI9</f>
        <v>748409.89999999991</v>
      </c>
    </row>
    <row r="10" spans="1:24" ht="16.5" thickTop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1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4" t="s">
        <v>15</v>
      </c>
      <c r="B12" s="5">
        <v>0</v>
      </c>
      <c r="C12" s="5"/>
      <c r="D12" s="5">
        <v>0</v>
      </c>
      <c r="E12" s="5"/>
      <c r="F12" s="5">
        <v>3177.51</v>
      </c>
      <c r="G12" s="5"/>
      <c r="H12" s="5">
        <v>0</v>
      </c>
      <c r="I12" s="5"/>
      <c r="J12" s="5">
        <v>0</v>
      </c>
      <c r="K12" s="5"/>
      <c r="L12" s="5">
        <v>0</v>
      </c>
      <c r="M12" s="5"/>
      <c r="N12" s="5">
        <v>0</v>
      </c>
      <c r="O12" s="5"/>
      <c r="P12" s="5">
        <v>0</v>
      </c>
      <c r="Q12" s="5"/>
      <c r="R12" s="5">
        <v>0</v>
      </c>
      <c r="S12" s="5"/>
      <c r="T12" s="5">
        <v>0</v>
      </c>
      <c r="U12" s="5"/>
      <c r="V12" s="5">
        <v>0</v>
      </c>
      <c r="W12" s="5"/>
      <c r="X12" s="5">
        <f t="shared" ref="X12:X13" si="1">SUM(B12:V12)</f>
        <v>3177.51</v>
      </c>
    </row>
    <row r="13" spans="1:24" x14ac:dyDescent="0.25">
      <c r="A13" s="4" t="s">
        <v>16</v>
      </c>
      <c r="B13" s="13">
        <v>0</v>
      </c>
      <c r="C13" s="6"/>
      <c r="D13" s="13">
        <v>0</v>
      </c>
      <c r="E13" s="6"/>
      <c r="F13" s="13">
        <v>0</v>
      </c>
      <c r="G13" s="6"/>
      <c r="H13" s="13">
        <v>0</v>
      </c>
      <c r="I13" s="6"/>
      <c r="J13" s="13">
        <v>0</v>
      </c>
      <c r="K13" s="6"/>
      <c r="L13" s="13">
        <v>0</v>
      </c>
      <c r="M13" s="6"/>
      <c r="N13" s="13">
        <v>0</v>
      </c>
      <c r="O13" s="6"/>
      <c r="P13" s="13">
        <v>0</v>
      </c>
      <c r="Q13" s="6"/>
      <c r="R13" s="13">
        <v>0</v>
      </c>
      <c r="S13" s="6"/>
      <c r="T13" s="13">
        <v>0</v>
      </c>
      <c r="U13" s="6"/>
      <c r="V13" s="13">
        <v>0</v>
      </c>
      <c r="W13" s="6"/>
      <c r="X13" s="7">
        <f t="shared" si="1"/>
        <v>0</v>
      </c>
    </row>
    <row r="14" spans="1:24" x14ac:dyDescent="0.25">
      <c r="A14" s="1" t="s">
        <v>17</v>
      </c>
      <c r="B14" s="9">
        <f>SUM(B12:B13)</f>
        <v>0</v>
      </c>
      <c r="C14" s="6"/>
      <c r="D14" s="9">
        <f>SUM(D12:D13)</f>
        <v>0</v>
      </c>
      <c r="E14" s="6"/>
      <c r="F14" s="9">
        <f>SUM(F12:F13)</f>
        <v>3177.51</v>
      </c>
      <c r="G14" s="6"/>
      <c r="H14" s="9">
        <f>SUM(H12:H13)</f>
        <v>0</v>
      </c>
      <c r="I14" s="6"/>
      <c r="J14" s="9">
        <f>SUM(J12:J13)</f>
        <v>0</v>
      </c>
      <c r="K14" s="6"/>
      <c r="L14" s="9">
        <f>SUM(L12:L13)</f>
        <v>0</v>
      </c>
      <c r="M14" s="6"/>
      <c r="N14" s="9">
        <f>SUM(N12:N13)</f>
        <v>0</v>
      </c>
      <c r="O14" s="6"/>
      <c r="P14" s="9">
        <f>SUM(P12:P13)</f>
        <v>0</v>
      </c>
      <c r="Q14" s="6"/>
      <c r="R14" s="9">
        <f>SUM(R12:R13)</f>
        <v>0</v>
      </c>
      <c r="S14" s="6"/>
      <c r="T14" s="9">
        <f>SUM(T12:T13)</f>
        <v>0</v>
      </c>
      <c r="U14" s="6"/>
      <c r="V14" s="9">
        <f>SUM(V12:V13)</f>
        <v>0</v>
      </c>
      <c r="W14" s="6"/>
      <c r="X14" s="9">
        <f>SUM(N14:W14)+'Capital Projects'!AI14</f>
        <v>0</v>
      </c>
    </row>
    <row r="15" spans="1:24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4" t="s">
        <v>22</v>
      </c>
      <c r="B17" s="6">
        <v>0</v>
      </c>
      <c r="C17" s="6"/>
      <c r="D17" s="6">
        <v>0</v>
      </c>
      <c r="E17" s="6"/>
      <c r="F17" s="6">
        <v>0</v>
      </c>
      <c r="G17" s="6"/>
      <c r="H17" s="6">
        <v>0</v>
      </c>
      <c r="I17" s="6"/>
      <c r="J17" s="6">
        <v>0</v>
      </c>
      <c r="K17" s="6"/>
      <c r="L17" s="6">
        <v>0</v>
      </c>
      <c r="M17" s="6"/>
      <c r="N17" s="6">
        <v>0</v>
      </c>
      <c r="O17" s="6"/>
      <c r="P17" s="6">
        <v>0</v>
      </c>
      <c r="Q17" s="6"/>
      <c r="R17" s="6">
        <v>0</v>
      </c>
      <c r="S17" s="6"/>
      <c r="T17" s="6">
        <v>0</v>
      </c>
      <c r="U17" s="6"/>
      <c r="V17" s="6">
        <v>0</v>
      </c>
      <c r="W17" s="6"/>
      <c r="X17" s="6">
        <f t="shared" ref="X17:X21" si="2">SUM(B17:V17)</f>
        <v>0</v>
      </c>
    </row>
    <row r="18" spans="1:24" x14ac:dyDescent="0.25">
      <c r="A18" s="4" t="s">
        <v>23</v>
      </c>
      <c r="B18" s="6">
        <v>0</v>
      </c>
      <c r="C18" s="6"/>
      <c r="D18" s="6">
        <v>0</v>
      </c>
      <c r="E18" s="6"/>
      <c r="F18" s="6">
        <v>0</v>
      </c>
      <c r="G18" s="6"/>
      <c r="H18" s="6">
        <v>0</v>
      </c>
      <c r="I18" s="6"/>
      <c r="J18" s="6">
        <v>0</v>
      </c>
      <c r="K18" s="6"/>
      <c r="L18" s="6">
        <v>0</v>
      </c>
      <c r="M18" s="6"/>
      <c r="N18" s="6">
        <v>0</v>
      </c>
      <c r="O18" s="6"/>
      <c r="P18" s="6">
        <v>0</v>
      </c>
      <c r="Q18" s="6"/>
      <c r="R18" s="6">
        <v>0</v>
      </c>
      <c r="S18" s="6"/>
      <c r="T18" s="6">
        <v>0</v>
      </c>
      <c r="U18" s="6"/>
      <c r="V18" s="6">
        <v>0</v>
      </c>
      <c r="W18" s="6"/>
      <c r="X18" s="6">
        <f t="shared" si="2"/>
        <v>0</v>
      </c>
    </row>
    <row r="19" spans="1:24" x14ac:dyDescent="0.25">
      <c r="A19" s="4" t="s">
        <v>24</v>
      </c>
      <c r="B19" s="6">
        <v>0</v>
      </c>
      <c r="C19" s="6"/>
      <c r="D19" s="6">
        <v>0</v>
      </c>
      <c r="E19" s="6"/>
      <c r="F19" s="6">
        <v>0</v>
      </c>
      <c r="G19" s="6"/>
      <c r="H19" s="6">
        <v>0</v>
      </c>
      <c r="I19" s="6"/>
      <c r="J19" s="6">
        <v>0</v>
      </c>
      <c r="K19" s="6"/>
      <c r="L19" s="6">
        <v>0</v>
      </c>
      <c r="M19" s="6"/>
      <c r="N19" s="6">
        <v>0</v>
      </c>
      <c r="O19" s="6"/>
      <c r="P19" s="6">
        <v>0</v>
      </c>
      <c r="Q19" s="6"/>
      <c r="R19" s="6">
        <v>0</v>
      </c>
      <c r="S19" s="6"/>
      <c r="T19" s="6">
        <v>0</v>
      </c>
      <c r="U19" s="6"/>
      <c r="V19" s="6">
        <v>0</v>
      </c>
      <c r="W19" s="6"/>
      <c r="X19" s="6">
        <f t="shared" si="2"/>
        <v>0</v>
      </c>
    </row>
    <row r="20" spans="1:24" x14ac:dyDescent="0.25">
      <c r="A20" s="4" t="s">
        <v>25</v>
      </c>
      <c r="B20" s="6">
        <v>0</v>
      </c>
      <c r="C20" s="6"/>
      <c r="D20" s="6">
        <v>0</v>
      </c>
      <c r="E20" s="6"/>
      <c r="F20" s="6">
        <v>0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/>
      <c r="P20" s="6">
        <v>0</v>
      </c>
      <c r="Q20" s="6"/>
      <c r="R20" s="6">
        <v>0</v>
      </c>
      <c r="S20" s="6"/>
      <c r="T20" s="6">
        <v>0</v>
      </c>
      <c r="U20" s="6"/>
      <c r="V20" s="6">
        <v>0</v>
      </c>
      <c r="W20" s="6"/>
      <c r="X20" s="6">
        <f t="shared" si="2"/>
        <v>0</v>
      </c>
    </row>
    <row r="21" spans="1:24" x14ac:dyDescent="0.25">
      <c r="A21" s="4" t="s">
        <v>26</v>
      </c>
      <c r="B21" s="6">
        <f>B61-SUM(B17:B20)</f>
        <v>25199.3</v>
      </c>
      <c r="C21" s="6"/>
      <c r="D21" s="6">
        <f>D61-SUM(D17:D20)</f>
        <v>40783</v>
      </c>
      <c r="E21" s="6"/>
      <c r="F21" s="6">
        <f>F61-SUM(F17:F20)</f>
        <v>57849.47</v>
      </c>
      <c r="G21" s="6"/>
      <c r="H21" s="6">
        <f>H61-SUM(H17:H20)</f>
        <v>43246.799999999988</v>
      </c>
      <c r="I21" s="6"/>
      <c r="J21" s="6">
        <f>J61-SUM(J17:J20)</f>
        <v>33356.589999999997</v>
      </c>
      <c r="K21" s="6"/>
      <c r="L21" s="6">
        <f>L61-SUM(L17:L20)</f>
        <v>65000</v>
      </c>
      <c r="M21" s="6"/>
      <c r="N21" s="6">
        <f>N61-SUM(N17:N20)</f>
        <v>0</v>
      </c>
      <c r="O21" s="6"/>
      <c r="P21" s="6">
        <f>P61-SUM(P17:P20)</f>
        <v>418926</v>
      </c>
      <c r="Q21" s="6"/>
      <c r="R21" s="6">
        <f>R61-SUM(R17:R20)</f>
        <v>29016</v>
      </c>
      <c r="S21" s="6"/>
      <c r="T21" s="6">
        <f>T61-SUM(T17:T20)</f>
        <v>7069</v>
      </c>
      <c r="U21" s="6"/>
      <c r="V21" s="6">
        <f>V61-SUM(V17:V20)</f>
        <v>293398.5</v>
      </c>
      <c r="W21" s="6"/>
      <c r="X21" s="7">
        <f t="shared" si="2"/>
        <v>1013844.66</v>
      </c>
    </row>
    <row r="22" spans="1:24" x14ac:dyDescent="0.25">
      <c r="A22" s="1" t="s">
        <v>27</v>
      </c>
      <c r="B22" s="9">
        <f>SUM(B18:B21)</f>
        <v>25199.3</v>
      </c>
      <c r="C22" s="6"/>
      <c r="D22" s="9">
        <f>SUM(D18:D21)</f>
        <v>40783</v>
      </c>
      <c r="E22" s="6"/>
      <c r="F22" s="9">
        <f>SUM(F18:F21)</f>
        <v>57849.47</v>
      </c>
      <c r="G22" s="6"/>
      <c r="H22" s="9">
        <f>SUM(H18:H21)</f>
        <v>43246.799999999988</v>
      </c>
      <c r="I22" s="6"/>
      <c r="J22" s="9">
        <f>SUM(J18:J21)</f>
        <v>33356.589999999997</v>
      </c>
      <c r="K22" s="6"/>
      <c r="L22" s="9">
        <f>SUM(L18:L21)</f>
        <v>65000</v>
      </c>
      <c r="M22" s="6"/>
      <c r="N22" s="9">
        <f>SUM(N18:N21)</f>
        <v>0</v>
      </c>
      <c r="O22" s="6"/>
      <c r="P22" s="9">
        <f>SUM(P18:P21)</f>
        <v>418926</v>
      </c>
      <c r="Q22" s="6"/>
      <c r="R22" s="9">
        <f>SUM(R18:R21)</f>
        <v>29016</v>
      </c>
      <c r="S22" s="6"/>
      <c r="T22" s="9">
        <f>SUM(T18:T21)</f>
        <v>7069</v>
      </c>
      <c r="U22" s="6"/>
      <c r="V22" s="9">
        <f>SUM(V18:V21)</f>
        <v>293398.5</v>
      </c>
      <c r="W22" s="6"/>
      <c r="X22" s="7">
        <f>SUM(X17:X21)</f>
        <v>1013844.66</v>
      </c>
    </row>
    <row r="23" spans="1:24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1" t="s">
        <v>89</v>
      </c>
    </row>
    <row r="25" spans="1:24" ht="16.5" thickBot="1" x14ac:dyDescent="0.3">
      <c r="A25" s="4" t="s">
        <v>90</v>
      </c>
      <c r="B25" s="8">
        <f>+B14+B22</f>
        <v>25199.3</v>
      </c>
      <c r="C25" s="5"/>
      <c r="D25" s="8">
        <f>+D14+D22</f>
        <v>40783</v>
      </c>
      <c r="E25" s="5"/>
      <c r="F25" s="8">
        <f>+F14+F22</f>
        <v>61026.98</v>
      </c>
      <c r="G25" s="5"/>
      <c r="H25" s="8">
        <f>+H14+H22</f>
        <v>43246.799999999988</v>
      </c>
      <c r="I25" s="5"/>
      <c r="J25" s="8">
        <f>+J14+J22</f>
        <v>33356.589999999997</v>
      </c>
      <c r="K25" s="5"/>
      <c r="L25" s="8">
        <f>+L14+L22</f>
        <v>65000</v>
      </c>
      <c r="M25" s="5"/>
      <c r="N25" s="8">
        <f>+N14+N22</f>
        <v>0</v>
      </c>
      <c r="O25" s="5"/>
      <c r="P25" s="8">
        <f>+P14+P22</f>
        <v>418926</v>
      </c>
      <c r="Q25" s="5"/>
      <c r="R25" s="8">
        <f>+R14+R22</f>
        <v>29016</v>
      </c>
      <c r="S25" s="5"/>
      <c r="T25" s="8">
        <f>+T14+T22</f>
        <v>7069</v>
      </c>
      <c r="U25" s="5"/>
      <c r="V25" s="8">
        <f>+V14+V22</f>
        <v>293398.5</v>
      </c>
      <c r="W25" s="5"/>
      <c r="X25" s="16">
        <f>SUM(N25:W25)+'Capital Projects'!AI25</f>
        <v>748409.5</v>
      </c>
    </row>
    <row r="26" spans="1:24" ht="16.5" thickTop="1" x14ac:dyDescent="0.25"/>
    <row r="29" spans="1:24" x14ac:dyDescent="0.25">
      <c r="A29" s="10"/>
      <c r="B29" s="11">
        <f>B25-B9</f>
        <v>0.14999999999781721</v>
      </c>
      <c r="C29" s="11">
        <f t="shared" ref="C29" si="3">C25-C9</f>
        <v>0</v>
      </c>
      <c r="D29" s="11">
        <f>D25-D9</f>
        <v>0</v>
      </c>
      <c r="E29" s="11">
        <f>E25-E9</f>
        <v>0</v>
      </c>
      <c r="F29" s="11">
        <f>F25-F9</f>
        <v>0.21000000000640284</v>
      </c>
      <c r="G29" s="11">
        <f t="shared" ref="G29:O29" si="4">G25-G9</f>
        <v>0</v>
      </c>
      <c r="H29" s="11">
        <f>H25-H9</f>
        <v>-0.33000000000902219</v>
      </c>
      <c r="I29" s="11">
        <f t="shared" si="4"/>
        <v>0</v>
      </c>
      <c r="J29" s="11">
        <f>J25-J9</f>
        <v>-9.0000000003783498E-2</v>
      </c>
      <c r="K29" s="11">
        <f t="shared" si="4"/>
        <v>0</v>
      </c>
      <c r="L29" s="11">
        <f>L25-L9</f>
        <v>0</v>
      </c>
      <c r="M29" s="11">
        <f t="shared" si="4"/>
        <v>0</v>
      </c>
      <c r="N29" s="11">
        <f>N25-N9</f>
        <v>-0.04</v>
      </c>
      <c r="O29" s="11">
        <f t="shared" si="4"/>
        <v>0</v>
      </c>
      <c r="P29" s="11">
        <f>P25-P9</f>
        <v>-0.34999999997671694</v>
      </c>
      <c r="Q29" s="11">
        <f>Q25-Q9</f>
        <v>0</v>
      </c>
      <c r="R29" s="11">
        <f>R25-R9</f>
        <v>0.40000000000145519</v>
      </c>
      <c r="S29" s="11">
        <f>S25-S9</f>
        <v>0</v>
      </c>
      <c r="T29" s="11">
        <f>T25-T9</f>
        <v>-0.21000000000003638</v>
      </c>
      <c r="U29" s="11"/>
      <c r="V29" s="11">
        <f>V25-V9</f>
        <v>-0.20000000001164153</v>
      </c>
      <c r="W29" s="11">
        <f>W25-W9</f>
        <v>0</v>
      </c>
      <c r="X29" s="11">
        <f>X25-X9</f>
        <v>-0.39999999990686774</v>
      </c>
    </row>
    <row r="30" spans="1:24" x14ac:dyDescent="0.25">
      <c r="A30" s="10"/>
      <c r="B30" s="11">
        <f>B22-B61</f>
        <v>0</v>
      </c>
      <c r="C30" s="10"/>
      <c r="D30" s="11">
        <f>D22-D61</f>
        <v>0</v>
      </c>
      <c r="E30" s="10"/>
      <c r="F30" s="11">
        <f>F22-F61</f>
        <v>0</v>
      </c>
      <c r="G30" s="10"/>
      <c r="H30" s="11">
        <f>H22-H61</f>
        <v>0</v>
      </c>
      <c r="I30" s="10"/>
      <c r="J30" s="11">
        <f>J22-J61</f>
        <v>0</v>
      </c>
      <c r="K30" s="10"/>
      <c r="L30" s="11">
        <f>L22-L61</f>
        <v>0</v>
      </c>
      <c r="M30" s="10"/>
      <c r="N30" s="11">
        <f>N22-N61</f>
        <v>0</v>
      </c>
      <c r="O30" s="10"/>
      <c r="P30" s="11">
        <f>P22-P61</f>
        <v>0</v>
      </c>
      <c r="Q30" s="10"/>
      <c r="R30" s="11">
        <f>R22-R61</f>
        <v>0</v>
      </c>
      <c r="S30" s="10"/>
      <c r="T30" s="11">
        <f>T22-T61</f>
        <v>0</v>
      </c>
      <c r="U30" s="10"/>
      <c r="V30" s="11">
        <f>V22-V61</f>
        <v>0</v>
      </c>
      <c r="W30" s="10"/>
      <c r="X30" s="11">
        <f>X22-X61</f>
        <v>0</v>
      </c>
    </row>
    <row r="31" spans="1:24" x14ac:dyDescent="0.25">
      <c r="N31" s="5"/>
      <c r="P31" s="5"/>
      <c r="R31" s="5"/>
      <c r="T31" s="5"/>
      <c r="V31" s="5"/>
      <c r="X31" s="5"/>
    </row>
    <row r="33" spans="1:24" x14ac:dyDescent="0.25">
      <c r="B33" s="2" t="s">
        <v>81</v>
      </c>
      <c r="C33" s="2"/>
      <c r="D33" s="2" t="s">
        <v>82</v>
      </c>
      <c r="E33" s="2"/>
      <c r="F33" s="2" t="s">
        <v>83</v>
      </c>
      <c r="G33" s="2"/>
      <c r="H33" s="2" t="s">
        <v>84</v>
      </c>
      <c r="I33" s="2"/>
      <c r="J33" s="2" t="s">
        <v>84</v>
      </c>
      <c r="K33" s="2"/>
      <c r="L33" s="2" t="s">
        <v>85</v>
      </c>
      <c r="M33" s="2"/>
      <c r="N33" s="2" t="s">
        <v>91</v>
      </c>
      <c r="O33" s="2"/>
      <c r="P33" s="2" t="s">
        <v>92</v>
      </c>
      <c r="Q33" s="2"/>
      <c r="R33" s="2" t="s">
        <v>93</v>
      </c>
      <c r="S33" s="2"/>
      <c r="T33" s="2" t="s">
        <v>94</v>
      </c>
      <c r="U33" s="2"/>
      <c r="V33" s="2"/>
      <c r="W33" s="2"/>
      <c r="X33" s="2"/>
    </row>
    <row r="34" spans="1:24" x14ac:dyDescent="0.25">
      <c r="B34" s="2" t="s">
        <v>86</v>
      </c>
      <c r="C34" s="2"/>
      <c r="D34" s="2" t="s">
        <v>87</v>
      </c>
      <c r="E34" s="2"/>
      <c r="F34" s="2" t="s">
        <v>87</v>
      </c>
      <c r="G34" s="2"/>
      <c r="H34" s="2" t="s">
        <v>87</v>
      </c>
      <c r="I34" s="2"/>
      <c r="J34" s="2" t="s">
        <v>88</v>
      </c>
      <c r="K34" s="2"/>
      <c r="L34" s="2" t="s">
        <v>87</v>
      </c>
      <c r="M34" s="2"/>
      <c r="N34" s="2" t="s">
        <v>87</v>
      </c>
      <c r="O34" s="2"/>
      <c r="P34" s="2" t="s">
        <v>95</v>
      </c>
      <c r="Q34" s="2"/>
      <c r="R34" s="2" t="s">
        <v>87</v>
      </c>
      <c r="S34" s="2"/>
      <c r="T34" s="2" t="s">
        <v>96</v>
      </c>
      <c r="U34" s="2"/>
      <c r="V34" s="2" t="s">
        <v>97</v>
      </c>
      <c r="W34" s="2"/>
      <c r="X34" s="2"/>
    </row>
    <row r="35" spans="1:24" x14ac:dyDescent="0.25">
      <c r="B35" s="3" t="s">
        <v>63</v>
      </c>
      <c r="C35" s="2"/>
      <c r="D35" s="3" t="s">
        <v>63</v>
      </c>
      <c r="E35" s="2"/>
      <c r="F35" s="3" t="s">
        <v>63</v>
      </c>
      <c r="G35" s="2"/>
      <c r="H35" s="3" t="s">
        <v>63</v>
      </c>
      <c r="I35" s="2"/>
      <c r="J35" s="3" t="s">
        <v>63</v>
      </c>
      <c r="K35" s="2"/>
      <c r="L35" s="3" t="s">
        <v>63</v>
      </c>
      <c r="M35" s="2"/>
      <c r="N35" s="3" t="s">
        <v>63</v>
      </c>
      <c r="O35" s="2"/>
      <c r="P35" s="3" t="s">
        <v>98</v>
      </c>
      <c r="Q35" s="2"/>
      <c r="R35" s="3" t="s">
        <v>63</v>
      </c>
      <c r="S35" s="2"/>
      <c r="T35" s="3" t="s">
        <v>63</v>
      </c>
      <c r="U35" s="2"/>
      <c r="V35" s="3" t="s">
        <v>63</v>
      </c>
      <c r="W35" s="2"/>
      <c r="X35" s="3" t="s">
        <v>80</v>
      </c>
    </row>
    <row r="37" spans="1:24" x14ac:dyDescent="0.25">
      <c r="A37" s="1" t="s">
        <v>30</v>
      </c>
    </row>
    <row r="38" spans="1:24" x14ac:dyDescent="0.25">
      <c r="A38" s="4" t="s">
        <v>33</v>
      </c>
      <c r="B38" s="5">
        <v>0</v>
      </c>
      <c r="C38" s="5"/>
      <c r="D38" s="5">
        <v>0</v>
      </c>
      <c r="E38" s="5"/>
      <c r="F38" s="5">
        <v>0</v>
      </c>
      <c r="G38" s="5"/>
      <c r="H38" s="5">
        <v>0</v>
      </c>
      <c r="I38" s="5"/>
      <c r="J38" s="5">
        <v>0</v>
      </c>
      <c r="K38" s="5"/>
      <c r="L38" s="5">
        <v>0</v>
      </c>
      <c r="M38" s="5"/>
      <c r="N38" s="5">
        <v>0</v>
      </c>
      <c r="O38" s="5"/>
      <c r="P38" s="5">
        <v>0</v>
      </c>
      <c r="Q38" s="5"/>
      <c r="R38" s="5">
        <v>0</v>
      </c>
      <c r="S38" s="5"/>
      <c r="T38" s="5">
        <v>0</v>
      </c>
      <c r="U38" s="5"/>
      <c r="V38" s="5">
        <v>0</v>
      </c>
      <c r="W38" s="5"/>
      <c r="X38" s="5">
        <f>SUM(N38:W38)</f>
        <v>0</v>
      </c>
    </row>
    <row r="39" spans="1:24" x14ac:dyDescent="0.25">
      <c r="A39" s="4" t="s">
        <v>34</v>
      </c>
      <c r="B39" s="5">
        <v>0</v>
      </c>
      <c r="C39" s="6"/>
      <c r="D39" s="5">
        <v>0</v>
      </c>
      <c r="E39" s="6"/>
      <c r="F39" s="5">
        <v>0</v>
      </c>
      <c r="G39" s="6"/>
      <c r="H39" s="5">
        <v>0</v>
      </c>
      <c r="I39" s="6"/>
      <c r="J39" s="5">
        <v>8071.59</v>
      </c>
      <c r="K39" s="6"/>
      <c r="L39" s="5">
        <v>0</v>
      </c>
      <c r="M39" s="6"/>
      <c r="N39" s="5">
        <v>0</v>
      </c>
      <c r="O39" s="6"/>
      <c r="P39" s="5">
        <v>0</v>
      </c>
      <c r="Q39" s="6"/>
      <c r="R39" s="5">
        <v>0</v>
      </c>
      <c r="S39" s="6"/>
      <c r="T39" s="5">
        <v>0</v>
      </c>
      <c r="U39" s="6"/>
      <c r="V39" s="5">
        <v>78163</v>
      </c>
      <c r="W39" s="6"/>
      <c r="X39" s="5">
        <f>SUM(B39:V39)</f>
        <v>86234.59</v>
      </c>
    </row>
    <row r="40" spans="1:24" x14ac:dyDescent="0.25">
      <c r="A40" s="1" t="s">
        <v>35</v>
      </c>
      <c r="B40" s="9">
        <f>SUM(B38:B39)</f>
        <v>0</v>
      </c>
      <c r="C40" s="6"/>
      <c r="D40" s="9">
        <f>SUM(D38:D39)</f>
        <v>0</v>
      </c>
      <c r="E40" s="6"/>
      <c r="F40" s="9">
        <f>SUM(F38:F39)</f>
        <v>0</v>
      </c>
      <c r="G40" s="6"/>
      <c r="H40" s="9">
        <f>SUM(H38:H39)</f>
        <v>0</v>
      </c>
      <c r="I40" s="6"/>
      <c r="J40" s="9">
        <f>SUM(J38:J39)</f>
        <v>8071.59</v>
      </c>
      <c r="K40" s="6"/>
      <c r="L40" s="9">
        <f>SUM(L38:L39)</f>
        <v>0</v>
      </c>
      <c r="M40" s="6"/>
      <c r="N40" s="9">
        <f>SUM(N38:N39)</f>
        <v>0</v>
      </c>
      <c r="O40" s="6"/>
      <c r="P40" s="9">
        <f>SUM(P38:P39)</f>
        <v>0</v>
      </c>
      <c r="Q40" s="6"/>
      <c r="R40" s="9">
        <f>SUM(R38:R39)</f>
        <v>0</v>
      </c>
      <c r="S40" s="6"/>
      <c r="T40" s="9">
        <f>SUM(T38:T39)</f>
        <v>0</v>
      </c>
      <c r="U40" s="6"/>
      <c r="V40" s="9">
        <f>SUM(V38:V39)</f>
        <v>78163</v>
      </c>
      <c r="W40" s="6"/>
      <c r="X40" s="9">
        <f>SUM(X38:X39)</f>
        <v>86234.59</v>
      </c>
    </row>
    <row r="41" spans="1:24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1" t="s">
        <v>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4" t="s">
        <v>37</v>
      </c>
      <c r="B43" s="6">
        <v>28528.7</v>
      </c>
      <c r="C43" s="6"/>
      <c r="D43" s="6">
        <v>0</v>
      </c>
      <c r="E43" s="6"/>
      <c r="F43" s="6">
        <v>9384.5300000000007</v>
      </c>
      <c r="G43" s="6"/>
      <c r="H43" s="6">
        <v>269257.2</v>
      </c>
      <c r="I43" s="6"/>
      <c r="J43" s="6">
        <v>0</v>
      </c>
      <c r="K43" s="6"/>
      <c r="L43" s="6">
        <v>0</v>
      </c>
      <c r="M43" s="6"/>
      <c r="N43" s="6">
        <v>0</v>
      </c>
      <c r="O43" s="6"/>
      <c r="P43" s="6">
        <v>0</v>
      </c>
      <c r="Q43" s="6"/>
      <c r="R43" s="6">
        <v>0</v>
      </c>
      <c r="S43" s="6"/>
      <c r="T43" s="6">
        <v>0</v>
      </c>
      <c r="U43" s="6"/>
      <c r="V43" s="6">
        <f>50000+61.04+964.81+550+139.65</f>
        <v>51715.5</v>
      </c>
      <c r="W43" s="6"/>
      <c r="X43" s="6">
        <f t="shared" ref="X43:X44" si="5">SUM(B43:V43)</f>
        <v>358885.93</v>
      </c>
    </row>
    <row r="44" spans="1:24" x14ac:dyDescent="0.25">
      <c r="A44" s="4" t="s">
        <v>38</v>
      </c>
      <c r="B44" s="6">
        <v>0</v>
      </c>
      <c r="C44" s="6"/>
      <c r="D44" s="6">
        <v>0</v>
      </c>
      <c r="E44" s="6"/>
      <c r="F44" s="6">
        <v>0</v>
      </c>
      <c r="G44" s="6"/>
      <c r="H44" s="6">
        <v>0</v>
      </c>
      <c r="I44" s="6"/>
      <c r="J44" s="6">
        <v>0</v>
      </c>
      <c r="K44" s="6"/>
      <c r="L44" s="6">
        <v>0</v>
      </c>
      <c r="M44" s="6"/>
      <c r="N44" s="6">
        <v>168701</v>
      </c>
      <c r="O44" s="6"/>
      <c r="P44" s="6">
        <v>0</v>
      </c>
      <c r="Q44" s="6"/>
      <c r="R44" s="6">
        <v>0</v>
      </c>
      <c r="S44" s="6"/>
      <c r="T44" s="6">
        <v>0</v>
      </c>
      <c r="U44" s="6"/>
      <c r="V44" s="6">
        <v>0</v>
      </c>
      <c r="W44" s="6"/>
      <c r="X44" s="6">
        <f t="shared" si="5"/>
        <v>168701</v>
      </c>
    </row>
    <row r="45" spans="1:24" x14ac:dyDescent="0.25">
      <c r="A45" s="1" t="s">
        <v>39</v>
      </c>
      <c r="B45" s="9">
        <f>SUM(B43:B44)</f>
        <v>28528.7</v>
      </c>
      <c r="C45" s="6"/>
      <c r="D45" s="9">
        <f>SUM(D43:D44)</f>
        <v>0</v>
      </c>
      <c r="E45" s="6"/>
      <c r="F45" s="9">
        <f>SUM(F43:F44)</f>
        <v>9384.5300000000007</v>
      </c>
      <c r="G45" s="6"/>
      <c r="H45" s="9">
        <f>SUM(H43:H44)</f>
        <v>269257.2</v>
      </c>
      <c r="I45" s="6"/>
      <c r="J45" s="9">
        <f>SUM(J43:J44)</f>
        <v>0</v>
      </c>
      <c r="K45" s="6"/>
      <c r="L45" s="9">
        <f>SUM(L43:L44)</f>
        <v>0</v>
      </c>
      <c r="M45" s="6"/>
      <c r="N45" s="9">
        <f>SUM(N43:N44)</f>
        <v>168701</v>
      </c>
      <c r="O45" s="6"/>
      <c r="P45" s="9">
        <f>SUM(P43:P44)</f>
        <v>0</v>
      </c>
      <c r="Q45" s="6"/>
      <c r="R45" s="9">
        <f>SUM(R43:R44)</f>
        <v>0</v>
      </c>
      <c r="S45" s="6"/>
      <c r="T45" s="9">
        <f>SUM(T43:T44)</f>
        <v>0</v>
      </c>
      <c r="U45" s="6"/>
      <c r="V45" s="9">
        <f>SUM(V43:V44)</f>
        <v>51715.5</v>
      </c>
      <c r="W45" s="6"/>
      <c r="X45" s="9">
        <f>SUM(X43:X44)</f>
        <v>527586.92999999993</v>
      </c>
    </row>
    <row r="46" spans="1:24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1" t="s">
        <v>40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5">
      <c r="A48" s="4" t="s">
        <v>41</v>
      </c>
      <c r="B48" s="7">
        <f>+B40-B45</f>
        <v>-28528.7</v>
      </c>
      <c r="C48" s="6"/>
      <c r="D48" s="7">
        <f>+D40-D45</f>
        <v>0</v>
      </c>
      <c r="E48" s="6"/>
      <c r="F48" s="7">
        <f>+F40-F45</f>
        <v>-9384.5300000000007</v>
      </c>
      <c r="G48" s="6"/>
      <c r="H48" s="7">
        <f>+H40-H45</f>
        <v>-269257.2</v>
      </c>
      <c r="I48" s="6"/>
      <c r="J48" s="7">
        <f>+J40-J45</f>
        <v>8071.59</v>
      </c>
      <c r="K48" s="6"/>
      <c r="L48" s="7">
        <f>+L40-L45</f>
        <v>0</v>
      </c>
      <c r="M48" s="6"/>
      <c r="N48" s="7">
        <f>+N40-N45</f>
        <v>-168701</v>
      </c>
      <c r="O48" s="6"/>
      <c r="P48" s="7">
        <f>+P40-P45</f>
        <v>0</v>
      </c>
      <c r="Q48" s="6"/>
      <c r="R48" s="7">
        <f>+R40-R45</f>
        <v>0</v>
      </c>
      <c r="S48" s="6"/>
      <c r="T48" s="7">
        <f>+T40-T45</f>
        <v>0</v>
      </c>
      <c r="U48" s="6"/>
      <c r="V48" s="7">
        <f>+V40-V45</f>
        <v>26447.5</v>
      </c>
      <c r="W48" s="6"/>
      <c r="X48" s="7">
        <f>+X40-X45</f>
        <v>-441352.33999999997</v>
      </c>
    </row>
    <row r="49" spans="1:24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1" t="s">
        <v>42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idden="1" x14ac:dyDescent="0.25">
      <c r="A51" s="4" t="s">
        <v>43</v>
      </c>
      <c r="B51" s="6">
        <v>0</v>
      </c>
      <c r="C51" s="6"/>
      <c r="D51" s="6">
        <v>0</v>
      </c>
      <c r="E51" s="6"/>
      <c r="F51" s="6">
        <v>0</v>
      </c>
      <c r="G51" s="6"/>
      <c r="H51" s="6">
        <v>0</v>
      </c>
      <c r="I51" s="6"/>
      <c r="J51" s="6">
        <v>0</v>
      </c>
      <c r="K51" s="6"/>
      <c r="L51" s="6">
        <v>0</v>
      </c>
      <c r="M51" s="6"/>
      <c r="N51" s="6">
        <v>0</v>
      </c>
      <c r="O51" s="6"/>
      <c r="P51" s="6">
        <v>0</v>
      </c>
      <c r="Q51" s="6"/>
      <c r="R51" s="6">
        <v>0</v>
      </c>
      <c r="S51" s="6"/>
      <c r="T51" s="6">
        <v>0</v>
      </c>
      <c r="U51" s="6"/>
      <c r="V51" s="6">
        <v>0</v>
      </c>
      <c r="W51" s="6"/>
      <c r="X51" s="6">
        <v>0</v>
      </c>
    </row>
    <row r="52" spans="1:24" x14ac:dyDescent="0.25">
      <c r="A52" s="4" t="s">
        <v>44</v>
      </c>
      <c r="B52" s="6">
        <v>40000</v>
      </c>
      <c r="C52" s="6"/>
      <c r="D52" s="6">
        <v>0</v>
      </c>
      <c r="E52" s="6"/>
      <c r="F52" s="6">
        <v>12000</v>
      </c>
      <c r="G52" s="6"/>
      <c r="H52" s="6">
        <v>150000</v>
      </c>
      <c r="I52" s="6"/>
      <c r="J52" s="6">
        <v>0</v>
      </c>
      <c r="K52" s="6"/>
      <c r="L52" s="6">
        <v>25000</v>
      </c>
      <c r="M52" s="6"/>
      <c r="N52" s="6">
        <v>50000</v>
      </c>
      <c r="O52" s="6"/>
      <c r="P52" s="6">
        <v>37000</v>
      </c>
      <c r="Q52" s="6"/>
      <c r="R52" s="6">
        <v>15000</v>
      </c>
      <c r="S52" s="6"/>
      <c r="T52" s="6">
        <v>0</v>
      </c>
      <c r="U52" s="6"/>
      <c r="V52" s="6">
        <v>0</v>
      </c>
      <c r="W52" s="6"/>
      <c r="X52" s="6">
        <f t="shared" ref="X52:X53" si="6">SUM(B52:V52)</f>
        <v>329000</v>
      </c>
    </row>
    <row r="53" spans="1:24" x14ac:dyDescent="0.25">
      <c r="A53" s="4" t="s">
        <v>45</v>
      </c>
      <c r="B53" s="7">
        <v>0</v>
      </c>
      <c r="C53" s="6"/>
      <c r="D53" s="7">
        <v>0</v>
      </c>
      <c r="E53" s="6"/>
      <c r="F53" s="7">
        <v>0</v>
      </c>
      <c r="G53" s="6"/>
      <c r="H53" s="7">
        <v>0</v>
      </c>
      <c r="I53" s="6"/>
      <c r="J53" s="7">
        <v>0</v>
      </c>
      <c r="K53" s="6"/>
      <c r="L53" s="7">
        <v>0</v>
      </c>
      <c r="M53" s="6"/>
      <c r="N53" s="7">
        <v>0</v>
      </c>
      <c r="O53" s="6"/>
      <c r="P53" s="7">
        <v>0</v>
      </c>
      <c r="Q53" s="6"/>
      <c r="R53" s="7">
        <v>0</v>
      </c>
      <c r="S53" s="6"/>
      <c r="T53" s="7">
        <v>0</v>
      </c>
      <c r="U53" s="6"/>
      <c r="V53" s="7">
        <v>0</v>
      </c>
      <c r="W53" s="6"/>
      <c r="X53" s="7">
        <f t="shared" si="6"/>
        <v>0</v>
      </c>
    </row>
    <row r="54" spans="1:24" x14ac:dyDescent="0.25">
      <c r="A54" s="1" t="s">
        <v>99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5">
      <c r="A55" s="4" t="s">
        <v>100</v>
      </c>
      <c r="B55" s="7">
        <f>SUM(B51:B53)</f>
        <v>40000</v>
      </c>
      <c r="C55" s="6"/>
      <c r="D55" s="7">
        <f>SUM(D51:D53)</f>
        <v>0</v>
      </c>
      <c r="E55" s="6"/>
      <c r="F55" s="7">
        <f>SUM(F51:F53)</f>
        <v>12000</v>
      </c>
      <c r="G55" s="6"/>
      <c r="H55" s="7">
        <f>SUM(H51:H53)</f>
        <v>150000</v>
      </c>
      <c r="I55" s="6"/>
      <c r="J55" s="7">
        <f>SUM(J51:J53)</f>
        <v>0</v>
      </c>
      <c r="K55" s="6"/>
      <c r="L55" s="7">
        <f>SUM(L51:L53)</f>
        <v>25000</v>
      </c>
      <c r="M55" s="6"/>
      <c r="N55" s="7">
        <f>SUM(N51:N53)</f>
        <v>50000</v>
      </c>
      <c r="O55" s="6"/>
      <c r="P55" s="7">
        <f>SUM(P51:P53)</f>
        <v>37000</v>
      </c>
      <c r="Q55" s="6"/>
      <c r="R55" s="7">
        <f>SUM(R51:R53)</f>
        <v>15000</v>
      </c>
      <c r="S55" s="6"/>
      <c r="T55" s="7">
        <f>SUM(T51:T53)</f>
        <v>0</v>
      </c>
      <c r="U55" s="6"/>
      <c r="V55" s="7">
        <f>SUM(V51:V53)</f>
        <v>0</v>
      </c>
      <c r="W55" s="6"/>
      <c r="X55" s="7">
        <f>SUM(X51:X53)</f>
        <v>329000</v>
      </c>
    </row>
    <row r="56" spans="1:24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A57" s="1" t="s">
        <v>48</v>
      </c>
      <c r="B57" s="6">
        <f>+B48+B55</f>
        <v>11471.3</v>
      </c>
      <c r="C57" s="6"/>
      <c r="D57" s="6">
        <f>+D48+D55</f>
        <v>0</v>
      </c>
      <c r="E57" s="6"/>
      <c r="F57" s="6">
        <f>+F48+F55</f>
        <v>2615.4699999999993</v>
      </c>
      <c r="G57" s="6"/>
      <c r="H57" s="6">
        <f>+H48+H55</f>
        <v>-119257.20000000001</v>
      </c>
      <c r="I57" s="6"/>
      <c r="J57" s="6">
        <f>+J48+J55</f>
        <v>8071.59</v>
      </c>
      <c r="K57" s="6"/>
      <c r="L57" s="6">
        <f>+L48+L55</f>
        <v>25000</v>
      </c>
      <c r="M57" s="6"/>
      <c r="N57" s="6">
        <f>+N48+N55</f>
        <v>-118701</v>
      </c>
      <c r="O57" s="6"/>
      <c r="P57" s="6">
        <f>+P48+P55</f>
        <v>37000</v>
      </c>
      <c r="Q57" s="6"/>
      <c r="R57" s="6">
        <f>+R48+R55</f>
        <v>15000</v>
      </c>
      <c r="S57" s="6"/>
      <c r="T57" s="6">
        <f>+T48+T55</f>
        <v>0</v>
      </c>
      <c r="U57" s="6"/>
      <c r="V57" s="6">
        <f>+V48+V55</f>
        <v>26447.5</v>
      </c>
      <c r="W57" s="6"/>
      <c r="X57" s="6">
        <f>+X48+X55</f>
        <v>-112352.33999999997</v>
      </c>
    </row>
    <row r="58" spans="1:24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5">
      <c r="A59" s="1" t="s">
        <v>49</v>
      </c>
      <c r="B59" s="7">
        <v>13728</v>
      </c>
      <c r="C59" s="6"/>
      <c r="D59" s="7">
        <v>40783</v>
      </c>
      <c r="E59" s="6"/>
      <c r="F59" s="7">
        <v>55234</v>
      </c>
      <c r="G59" s="6"/>
      <c r="H59" s="7">
        <v>162504</v>
      </c>
      <c r="I59" s="6"/>
      <c r="J59" s="7">
        <v>25285</v>
      </c>
      <c r="K59" s="6"/>
      <c r="L59" s="7">
        <v>40000</v>
      </c>
      <c r="M59" s="6"/>
      <c r="N59" s="7">
        <v>118701</v>
      </c>
      <c r="O59" s="6"/>
      <c r="P59" s="7">
        <v>381926</v>
      </c>
      <c r="Q59" s="6"/>
      <c r="R59" s="7">
        <v>14016</v>
      </c>
      <c r="S59" s="6"/>
      <c r="T59" s="7">
        <v>7069</v>
      </c>
      <c r="U59" s="6"/>
      <c r="V59" s="7">
        <v>266951</v>
      </c>
      <c r="W59" s="6"/>
      <c r="X59" s="7">
        <f>SUM(B59:V59)</f>
        <v>1126197</v>
      </c>
    </row>
    <row r="60" spans="1:24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6.5" thickBot="1" x14ac:dyDescent="0.3">
      <c r="A61" s="1" t="s">
        <v>50</v>
      </c>
      <c r="B61" s="8">
        <f>SUM(B57:B60)</f>
        <v>25199.3</v>
      </c>
      <c r="C61" s="5"/>
      <c r="D61" s="8">
        <f>SUM(D57:D60)</f>
        <v>40783</v>
      </c>
      <c r="E61" s="5"/>
      <c r="F61" s="8">
        <f>SUM(F57:F60)</f>
        <v>57849.47</v>
      </c>
      <c r="G61" s="5"/>
      <c r="H61" s="8">
        <f>SUM(H57:H60)</f>
        <v>43246.799999999988</v>
      </c>
      <c r="I61" s="5"/>
      <c r="J61" s="8">
        <f>SUM(J57:J60)</f>
        <v>33356.589999999997</v>
      </c>
      <c r="K61" s="5"/>
      <c r="L61" s="8">
        <f>SUM(L57:L60)</f>
        <v>65000</v>
      </c>
      <c r="M61" s="5"/>
      <c r="N61" s="8">
        <f>SUM(N57:N60)</f>
        <v>0</v>
      </c>
      <c r="O61" s="5"/>
      <c r="P61" s="8">
        <f>SUM(P57:P60)</f>
        <v>418926</v>
      </c>
      <c r="Q61" s="5"/>
      <c r="R61" s="8">
        <f>SUM(R57:R60)</f>
        <v>29016</v>
      </c>
      <c r="S61" s="5"/>
      <c r="T61" s="8">
        <f>SUM(T57:T60)</f>
        <v>7069</v>
      </c>
      <c r="U61" s="5"/>
      <c r="V61" s="8">
        <f>SUM(V57:V60)</f>
        <v>293398.5</v>
      </c>
      <c r="W61" s="5"/>
      <c r="X61" s="8">
        <f>SUM(X57:X60)</f>
        <v>1013844.66</v>
      </c>
    </row>
    <row r="62" spans="1:24" ht="16.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12D6-C0F7-4A96-AC2F-AE491ECC832B}">
  <sheetPr>
    <tabColor rgb="FF002060"/>
  </sheetPr>
  <dimension ref="A1:I59"/>
  <sheetViews>
    <sheetView showGridLines="0" workbookViewId="0">
      <selection activeCell="C57" sqref="C57"/>
    </sheetView>
  </sheetViews>
  <sheetFormatPr defaultColWidth="9.140625" defaultRowHeight="15.75" x14ac:dyDescent="0.25"/>
  <cols>
    <col min="1" max="1" width="40" style="1" bestFit="1" customWidth="1"/>
    <col min="2" max="2" width="1.85546875" style="1" customWidth="1"/>
    <col min="3" max="3" width="14.7109375" style="1" customWidth="1"/>
    <col min="4" max="4" width="0.85546875" style="1" customWidth="1"/>
    <col min="5" max="5" width="14.7109375" style="1" customWidth="1"/>
    <col min="6" max="6" width="0.85546875" style="1" customWidth="1"/>
    <col min="7" max="8" width="9.140625" style="1"/>
    <col min="9" max="9" width="9.7109375" style="1" bestFit="1" customWidth="1"/>
    <col min="10" max="16384" width="9.140625" style="1"/>
  </cols>
  <sheetData>
    <row r="1" spans="1:9" x14ac:dyDescent="0.25">
      <c r="A1" s="1" t="s">
        <v>119</v>
      </c>
      <c r="C1" s="2"/>
      <c r="D1" s="2"/>
      <c r="E1" s="2"/>
    </row>
    <row r="2" spans="1:9" x14ac:dyDescent="0.25">
      <c r="A2" s="1" t="s">
        <v>124</v>
      </c>
      <c r="C2" s="2"/>
      <c r="D2" s="2"/>
      <c r="E2" s="2"/>
    </row>
    <row r="3" spans="1:9" x14ac:dyDescent="0.25">
      <c r="A3" s="1" t="s">
        <v>121</v>
      </c>
      <c r="C3" s="2" t="s">
        <v>101</v>
      </c>
      <c r="D3" s="2"/>
      <c r="E3" s="2"/>
    </row>
    <row r="4" spans="1:9" x14ac:dyDescent="0.25">
      <c r="C4" s="3" t="s">
        <v>6</v>
      </c>
      <c r="D4" s="2"/>
      <c r="E4" s="3" t="s">
        <v>80</v>
      </c>
    </row>
    <row r="5" spans="1:9" x14ac:dyDescent="0.25">
      <c r="A5" s="1" t="s">
        <v>7</v>
      </c>
    </row>
    <row r="6" spans="1:9" x14ac:dyDescent="0.25">
      <c r="A6" s="4" t="s">
        <v>8</v>
      </c>
      <c r="C6" s="5">
        <f>1085.5+150784.67</f>
        <v>151870.17000000001</v>
      </c>
      <c r="D6" s="5"/>
      <c r="E6" s="5">
        <f>SUM(C6:D6)</f>
        <v>151870.17000000001</v>
      </c>
    </row>
    <row r="7" spans="1:9" x14ac:dyDescent="0.25">
      <c r="A7" s="4" t="s">
        <v>67</v>
      </c>
      <c r="C7" s="6">
        <v>0</v>
      </c>
      <c r="D7" s="6"/>
      <c r="E7" s="6">
        <f>SUM(C7:D7)</f>
        <v>0</v>
      </c>
    </row>
    <row r="8" spans="1:9" x14ac:dyDescent="0.25">
      <c r="A8" s="4" t="s">
        <v>102</v>
      </c>
      <c r="C8" s="6">
        <v>0</v>
      </c>
      <c r="D8" s="6"/>
      <c r="E8" s="6">
        <f>SUM(C8:D8)</f>
        <v>0</v>
      </c>
    </row>
    <row r="9" spans="1:9" x14ac:dyDescent="0.25">
      <c r="A9" s="4" t="s">
        <v>12</v>
      </c>
      <c r="C9" s="7">
        <f>1010-710</f>
        <v>300</v>
      </c>
      <c r="D9" s="6"/>
      <c r="E9" s="7">
        <f>SUM(C9:D9)</f>
        <v>300</v>
      </c>
      <c r="I9" s="6">
        <f>+E9-E14</f>
        <v>300</v>
      </c>
    </row>
    <row r="10" spans="1:9" ht="16.5" thickBot="1" x14ac:dyDescent="0.3">
      <c r="A10" s="1" t="s">
        <v>13</v>
      </c>
      <c r="C10" s="8">
        <f>SUM(C6:C9)</f>
        <v>152170.17000000001</v>
      </c>
      <c r="D10" s="5"/>
      <c r="E10" s="8">
        <f>SUM(C10:D10)</f>
        <v>152170.17000000001</v>
      </c>
    </row>
    <row r="11" spans="1:9" ht="16.5" thickTop="1" x14ac:dyDescent="0.25">
      <c r="C11" s="6"/>
      <c r="D11" s="6"/>
      <c r="E11" s="6"/>
    </row>
    <row r="12" spans="1:9" x14ac:dyDescent="0.25">
      <c r="A12" s="1" t="s">
        <v>14</v>
      </c>
      <c r="C12" s="6"/>
      <c r="D12" s="6"/>
      <c r="E12" s="6"/>
    </row>
    <row r="13" spans="1:9" x14ac:dyDescent="0.25">
      <c r="A13" s="4" t="s">
        <v>15</v>
      </c>
      <c r="C13" s="5">
        <v>0</v>
      </c>
      <c r="D13" s="5"/>
      <c r="E13" s="5">
        <f>SUM(C13:D13)</f>
        <v>0</v>
      </c>
    </row>
    <row r="14" spans="1:9" x14ac:dyDescent="0.25">
      <c r="A14" s="4" t="s">
        <v>16</v>
      </c>
      <c r="C14" s="13">
        <v>0</v>
      </c>
      <c r="D14" s="5"/>
      <c r="E14" s="13">
        <f>SUM(C14:D14)</f>
        <v>0</v>
      </c>
    </row>
    <row r="15" spans="1:9" x14ac:dyDescent="0.25">
      <c r="A15" s="1" t="s">
        <v>17</v>
      </c>
      <c r="C15" s="9">
        <f>SUM(C13:C14)</f>
        <v>0</v>
      </c>
      <c r="D15" s="6"/>
      <c r="E15" s="9">
        <f>SUM(C15:D15)</f>
        <v>0</v>
      </c>
    </row>
    <row r="16" spans="1:9" x14ac:dyDescent="0.25">
      <c r="C16" s="6"/>
      <c r="D16" s="6"/>
      <c r="E16" s="6"/>
    </row>
    <row r="17" spans="1:5" x14ac:dyDescent="0.25">
      <c r="A17" s="1" t="s">
        <v>21</v>
      </c>
      <c r="C17" s="6"/>
      <c r="D17" s="6"/>
      <c r="E17" s="6"/>
    </row>
    <row r="18" spans="1:5" x14ac:dyDescent="0.25">
      <c r="A18" s="4" t="s">
        <v>22</v>
      </c>
      <c r="C18" s="6">
        <v>0</v>
      </c>
      <c r="D18" s="6"/>
      <c r="E18" s="6">
        <f>SUM(C18:D18)</f>
        <v>0</v>
      </c>
    </row>
    <row r="19" spans="1:5" x14ac:dyDescent="0.25">
      <c r="A19" s="4" t="s">
        <v>23</v>
      </c>
      <c r="C19" s="6">
        <v>0</v>
      </c>
      <c r="D19" s="6" t="e">
        <f>#REF!</f>
        <v>#REF!</v>
      </c>
      <c r="E19" s="6">
        <v>0</v>
      </c>
    </row>
    <row r="20" spans="1:5" x14ac:dyDescent="0.25">
      <c r="A20" s="4" t="s">
        <v>24</v>
      </c>
      <c r="C20" s="6">
        <v>0</v>
      </c>
      <c r="D20" s="6"/>
      <c r="E20" s="6">
        <f>SUM(C20:D20)</f>
        <v>0</v>
      </c>
    </row>
    <row r="21" spans="1:5" x14ac:dyDescent="0.25">
      <c r="A21" s="4" t="s">
        <v>25</v>
      </c>
      <c r="C21" s="6">
        <v>0</v>
      </c>
      <c r="D21" s="6"/>
      <c r="E21" s="6">
        <f>SUM(C21:D21)</f>
        <v>0</v>
      </c>
    </row>
    <row r="22" spans="1:5" x14ac:dyDescent="0.25">
      <c r="A22" s="4" t="s">
        <v>26</v>
      </c>
      <c r="C22" s="6">
        <f>C58-SUM(C18:C21)</f>
        <v>152170.53</v>
      </c>
      <c r="D22" s="6"/>
      <c r="E22" s="6">
        <f>SUM(C22:D22)</f>
        <v>152170.53</v>
      </c>
    </row>
    <row r="23" spans="1:5" x14ac:dyDescent="0.25">
      <c r="A23" s="1" t="s">
        <v>27</v>
      </c>
      <c r="C23" s="9">
        <f>SUM(C19:C22)</f>
        <v>152170.53</v>
      </c>
      <c r="D23" s="6"/>
      <c r="E23" s="9">
        <f>SUM(C23:D23)</f>
        <v>152170.53</v>
      </c>
    </row>
    <row r="24" spans="1:5" x14ac:dyDescent="0.25">
      <c r="C24" s="6"/>
      <c r="D24" s="6"/>
      <c r="E24" s="6"/>
    </row>
    <row r="25" spans="1:5" x14ac:dyDescent="0.25">
      <c r="A25" s="1" t="s">
        <v>103</v>
      </c>
    </row>
    <row r="26" spans="1:5" ht="16.5" thickBot="1" x14ac:dyDescent="0.3">
      <c r="A26" s="4" t="s">
        <v>21</v>
      </c>
      <c r="C26" s="8">
        <f>+C15+C23</f>
        <v>152170.53</v>
      </c>
      <c r="D26" s="5"/>
      <c r="E26" s="8">
        <f>SUM(C26:D26)</f>
        <v>152170.53</v>
      </c>
    </row>
    <row r="27" spans="1:5" ht="16.5" thickTop="1" x14ac:dyDescent="0.25"/>
    <row r="29" spans="1:5" x14ac:dyDescent="0.25">
      <c r="A29" s="10"/>
      <c r="B29" s="10"/>
      <c r="C29" s="11">
        <f>C10-C26</f>
        <v>-0.35999999998603016</v>
      </c>
      <c r="D29" s="10"/>
      <c r="E29" s="11">
        <f>E10-E26</f>
        <v>-0.35999999998603016</v>
      </c>
    </row>
    <row r="30" spans="1:5" x14ac:dyDescent="0.25">
      <c r="A30" s="10"/>
      <c r="B30" s="10"/>
      <c r="C30" s="11">
        <f>C23-C58</f>
        <v>0</v>
      </c>
      <c r="D30" s="10"/>
      <c r="E30" s="11">
        <f>E23-E58</f>
        <v>0</v>
      </c>
    </row>
    <row r="32" spans="1:5" x14ac:dyDescent="0.25">
      <c r="C32" s="2" t="s">
        <v>101</v>
      </c>
      <c r="D32" s="2"/>
      <c r="E32" s="2"/>
    </row>
    <row r="33" spans="1:5" x14ac:dyDescent="0.25">
      <c r="C33" s="3" t="s">
        <v>6</v>
      </c>
      <c r="D33" s="2"/>
      <c r="E33" s="3" t="s">
        <v>80</v>
      </c>
    </row>
    <row r="34" spans="1:5" hidden="1" x14ac:dyDescent="0.25"/>
    <row r="35" spans="1:5" x14ac:dyDescent="0.25">
      <c r="A35" s="1" t="s">
        <v>30</v>
      </c>
    </row>
    <row r="36" spans="1:5" hidden="1" x14ac:dyDescent="0.25">
      <c r="A36" s="4" t="s">
        <v>31</v>
      </c>
      <c r="C36" s="5">
        <v>0</v>
      </c>
      <c r="D36" s="5"/>
      <c r="E36" s="5">
        <f>SUM(C36:D36)</f>
        <v>0</v>
      </c>
    </row>
    <row r="37" spans="1:5" x14ac:dyDescent="0.25">
      <c r="A37" s="4" t="s">
        <v>33</v>
      </c>
      <c r="C37" s="5">
        <f>2238.31+8.48</f>
        <v>2246.79</v>
      </c>
      <c r="D37" s="6"/>
      <c r="E37" s="5">
        <f>SUM(C37:D37)</f>
        <v>2246.79</v>
      </c>
    </row>
    <row r="38" spans="1:5" x14ac:dyDescent="0.25">
      <c r="A38" s="4" t="s">
        <v>38</v>
      </c>
      <c r="C38" s="6">
        <f>31219.08+963.4</f>
        <v>32182.480000000003</v>
      </c>
      <c r="D38" s="6"/>
      <c r="E38" s="6">
        <f>SUM(C38:D38)</f>
        <v>32182.480000000003</v>
      </c>
    </row>
    <row r="39" spans="1:5" x14ac:dyDescent="0.25">
      <c r="A39" s="1" t="s">
        <v>35</v>
      </c>
      <c r="C39" s="9">
        <f>SUM(C36:C38)</f>
        <v>34429.270000000004</v>
      </c>
      <c r="D39" s="6"/>
      <c r="E39" s="9">
        <f>SUM(E36:E38)</f>
        <v>34429.270000000004</v>
      </c>
    </row>
    <row r="40" spans="1:5" x14ac:dyDescent="0.25">
      <c r="C40" s="6"/>
      <c r="D40" s="6"/>
      <c r="E40" s="6"/>
    </row>
    <row r="41" spans="1:5" x14ac:dyDescent="0.25">
      <c r="A41" s="1" t="s">
        <v>36</v>
      </c>
      <c r="C41" s="6"/>
      <c r="D41" s="6"/>
      <c r="E41" s="6"/>
    </row>
    <row r="42" spans="1:5" x14ac:dyDescent="0.25">
      <c r="A42" s="4" t="s">
        <v>38</v>
      </c>
      <c r="C42" s="6">
        <f>1233.08+52044.11</f>
        <v>53277.19</v>
      </c>
      <c r="D42" s="6"/>
      <c r="E42" s="6">
        <f>SUM(C42:D42)</f>
        <v>53277.19</v>
      </c>
    </row>
    <row r="43" spans="1:5" x14ac:dyDescent="0.25">
      <c r="A43" s="1" t="s">
        <v>39</v>
      </c>
      <c r="C43" s="9">
        <f>SUM(C42)</f>
        <v>53277.19</v>
      </c>
      <c r="D43" s="6"/>
      <c r="E43" s="9">
        <f>SUM(E42)</f>
        <v>53277.19</v>
      </c>
    </row>
    <row r="44" spans="1:5" x14ac:dyDescent="0.25">
      <c r="C44" s="6"/>
      <c r="D44" s="6"/>
      <c r="E44" s="6"/>
    </row>
    <row r="45" spans="1:5" x14ac:dyDescent="0.25">
      <c r="A45" s="1" t="s">
        <v>40</v>
      </c>
      <c r="C45" s="6"/>
      <c r="D45" s="6"/>
      <c r="E45" s="6"/>
    </row>
    <row r="46" spans="1:5" x14ac:dyDescent="0.25">
      <c r="A46" s="4" t="s">
        <v>41</v>
      </c>
      <c r="C46" s="7">
        <f>+C39-C43</f>
        <v>-18847.919999999998</v>
      </c>
      <c r="D46" s="6"/>
      <c r="E46" s="7">
        <f>SUM(C46:D46)</f>
        <v>-18847.919999999998</v>
      </c>
    </row>
    <row r="47" spans="1:5" x14ac:dyDescent="0.25">
      <c r="C47" s="6"/>
      <c r="D47" s="6"/>
      <c r="E47" s="6"/>
    </row>
    <row r="48" spans="1:5" x14ac:dyDescent="0.25">
      <c r="A48" s="1" t="s">
        <v>42</v>
      </c>
      <c r="C48" s="6"/>
      <c r="D48" s="6"/>
      <c r="E48" s="6"/>
    </row>
    <row r="49" spans="1:9" x14ac:dyDescent="0.25">
      <c r="A49" s="4" t="s">
        <v>44</v>
      </c>
      <c r="C49" s="6">
        <v>0</v>
      </c>
      <c r="D49" s="6"/>
      <c r="E49" s="6">
        <f>SUM(C49:D49)</f>
        <v>0</v>
      </c>
    </row>
    <row r="50" spans="1:9" x14ac:dyDescent="0.25">
      <c r="A50" s="4" t="s">
        <v>45</v>
      </c>
      <c r="C50" s="7">
        <v>-41.55</v>
      </c>
      <c r="D50" s="6"/>
      <c r="E50" s="7">
        <f>SUM(C50:D50)</f>
        <v>-41.55</v>
      </c>
    </row>
    <row r="51" spans="1:9" x14ac:dyDescent="0.25">
      <c r="A51" s="1" t="s">
        <v>46</v>
      </c>
      <c r="C51" s="6"/>
      <c r="D51" s="6"/>
      <c r="E51" s="6"/>
    </row>
    <row r="52" spans="1:9" x14ac:dyDescent="0.25">
      <c r="A52" s="4" t="s">
        <v>47</v>
      </c>
      <c r="C52" s="7">
        <f>SUM(C49:C50)</f>
        <v>-41.55</v>
      </c>
      <c r="D52" s="6"/>
      <c r="E52" s="7">
        <f>SUM(C52:D52)</f>
        <v>-41.55</v>
      </c>
    </row>
    <row r="53" spans="1:9" x14ac:dyDescent="0.25">
      <c r="C53" s="6"/>
      <c r="D53" s="6"/>
      <c r="E53" s="6"/>
    </row>
    <row r="54" spans="1:9" x14ac:dyDescent="0.25">
      <c r="A54" s="1" t="s">
        <v>48</v>
      </c>
      <c r="C54" s="6">
        <f>+C46+C52</f>
        <v>-18889.469999999998</v>
      </c>
      <c r="D54" s="6"/>
      <c r="E54" s="6">
        <f>SUM(C54:D54)</f>
        <v>-18889.469999999998</v>
      </c>
    </row>
    <row r="55" spans="1:9" x14ac:dyDescent="0.25">
      <c r="C55" s="6"/>
      <c r="D55" s="6"/>
      <c r="E55" s="6"/>
    </row>
    <row r="56" spans="1:9" x14ac:dyDescent="0.25">
      <c r="A56" s="1" t="s">
        <v>49</v>
      </c>
      <c r="C56" s="7">
        <f>171855-795</f>
        <v>171060</v>
      </c>
      <c r="D56" s="6"/>
      <c r="E56" s="7">
        <f>SUM(C56:D56)</f>
        <v>171060</v>
      </c>
    </row>
    <row r="57" spans="1:9" x14ac:dyDescent="0.25">
      <c r="C57" s="6"/>
      <c r="D57" s="6"/>
      <c r="E57" s="6"/>
    </row>
    <row r="58" spans="1:9" ht="16.5" thickBot="1" x14ac:dyDescent="0.3">
      <c r="A58" s="1" t="s">
        <v>50</v>
      </c>
      <c r="C58" s="8">
        <f>SUM(C54:C57)</f>
        <v>152170.53</v>
      </c>
      <c r="D58" s="5"/>
      <c r="E58" s="8">
        <f>SUM(C58:D58)</f>
        <v>152170.53</v>
      </c>
      <c r="I58" s="5"/>
    </row>
    <row r="59" spans="1:9" ht="16.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9AA2-F6ED-4302-9F00-A113C26C330D}">
  <sheetPr>
    <tabColor rgb="FF002060"/>
  </sheetPr>
  <dimension ref="A1:L57"/>
  <sheetViews>
    <sheetView showGridLines="0" workbookViewId="0">
      <selection activeCell="J12" sqref="J12"/>
    </sheetView>
  </sheetViews>
  <sheetFormatPr defaultColWidth="9.140625" defaultRowHeight="15.75" x14ac:dyDescent="0.25"/>
  <cols>
    <col min="1" max="1" width="33.42578125" style="1" customWidth="1"/>
    <col min="2" max="2" width="14.7109375" style="1" customWidth="1"/>
    <col min="3" max="3" width="1.7109375" style="1" customWidth="1"/>
    <col min="4" max="4" width="14.7109375" style="1" customWidth="1"/>
    <col min="5" max="5" width="1.7109375" style="1" customWidth="1"/>
    <col min="6" max="6" width="14.7109375" style="1" customWidth="1"/>
    <col min="7" max="7" width="0.85546875" style="1" customWidth="1"/>
    <col min="8" max="8" width="14.7109375" style="1" customWidth="1"/>
    <col min="9" max="9" width="1.7109375" style="1" customWidth="1"/>
    <col min="10" max="11" width="9.140625" style="1"/>
    <col min="12" max="12" width="9.7109375" style="1" bestFit="1" customWidth="1"/>
    <col min="13" max="16384" width="9.140625" style="1"/>
  </cols>
  <sheetData>
    <row r="1" spans="1:12" x14ac:dyDescent="0.25">
      <c r="A1" s="1" t="s">
        <v>119</v>
      </c>
    </row>
    <row r="2" spans="1:12" x14ac:dyDescent="0.25">
      <c r="A2" s="1" t="s">
        <v>125</v>
      </c>
      <c r="B2" s="2" t="s">
        <v>104</v>
      </c>
      <c r="C2" s="2"/>
      <c r="D2" s="2" t="s">
        <v>105</v>
      </c>
      <c r="E2" s="2"/>
      <c r="F2" s="2" t="s">
        <v>105</v>
      </c>
      <c r="G2" s="2"/>
      <c r="H2" s="2"/>
    </row>
    <row r="3" spans="1:12" x14ac:dyDescent="0.25">
      <c r="A3" s="1" t="s">
        <v>126</v>
      </c>
      <c r="B3" s="2" t="s">
        <v>106</v>
      </c>
      <c r="C3" s="2"/>
      <c r="D3" s="2" t="s">
        <v>107</v>
      </c>
      <c r="E3" s="2"/>
      <c r="F3" s="2" t="s">
        <v>106</v>
      </c>
      <c r="G3" s="2"/>
      <c r="H3" s="2"/>
    </row>
    <row r="4" spans="1:12" x14ac:dyDescent="0.25">
      <c r="B4" s="3" t="s">
        <v>63</v>
      </c>
      <c r="C4" s="2"/>
      <c r="D4" s="3" t="s">
        <v>63</v>
      </c>
      <c r="E4" s="2"/>
      <c r="F4" s="3" t="s">
        <v>63</v>
      </c>
      <c r="G4" s="2"/>
      <c r="H4" s="3" t="s">
        <v>80</v>
      </c>
    </row>
    <row r="5" spans="1:12" x14ac:dyDescent="0.25">
      <c r="A5" s="1" t="s">
        <v>7</v>
      </c>
    </row>
    <row r="6" spans="1:12" x14ac:dyDescent="0.25">
      <c r="A6" s="4" t="s">
        <v>8</v>
      </c>
      <c r="B6" s="5">
        <v>25450.21</v>
      </c>
      <c r="C6" s="5"/>
      <c r="D6" s="5">
        <v>3254.13</v>
      </c>
      <c r="E6" s="5"/>
      <c r="F6" s="5">
        <v>3519.95</v>
      </c>
      <c r="G6" s="5"/>
      <c r="H6" s="5">
        <f>SUM(B6:G6)</f>
        <v>32224.29</v>
      </c>
    </row>
    <row r="7" spans="1:12" x14ac:dyDescent="0.25">
      <c r="A7" s="4" t="s">
        <v>67</v>
      </c>
      <c r="B7" s="6">
        <v>0</v>
      </c>
      <c r="C7" s="6"/>
      <c r="D7" s="6">
        <v>0</v>
      </c>
      <c r="E7" s="6"/>
      <c r="F7" s="6">
        <v>0</v>
      </c>
      <c r="G7" s="6"/>
      <c r="H7" s="6">
        <f>SUM(B7:G7)</f>
        <v>0</v>
      </c>
    </row>
    <row r="8" spans="1:12" x14ac:dyDescent="0.25">
      <c r="A8" s="4" t="s">
        <v>102</v>
      </c>
      <c r="B8" s="6">
        <v>0</v>
      </c>
      <c r="C8" s="6"/>
      <c r="D8" s="6">
        <v>0</v>
      </c>
      <c r="E8" s="6"/>
      <c r="F8" s="6"/>
      <c r="G8" s="6"/>
      <c r="H8" s="6">
        <f>SUM(B8:G8)</f>
        <v>0</v>
      </c>
    </row>
    <row r="9" spans="1:12" x14ac:dyDescent="0.25">
      <c r="A9" s="4" t="s">
        <v>12</v>
      </c>
      <c r="B9" s="7">
        <v>0</v>
      </c>
      <c r="C9" s="6"/>
      <c r="D9" s="7">
        <v>0</v>
      </c>
      <c r="E9" s="6"/>
      <c r="F9" s="7">
        <v>0</v>
      </c>
      <c r="G9" s="6"/>
      <c r="H9" s="7">
        <f>SUM(B9:G9)</f>
        <v>0</v>
      </c>
      <c r="L9" s="6">
        <f>+H9-H14</f>
        <v>0</v>
      </c>
    </row>
    <row r="10" spans="1:12" ht="16.5" thickBot="1" x14ac:dyDescent="0.3">
      <c r="A10" s="1" t="s">
        <v>13</v>
      </c>
      <c r="B10" s="12">
        <f>SUM(B6:B9)</f>
        <v>25450.21</v>
      </c>
      <c r="C10" s="5"/>
      <c r="D10" s="12">
        <f>SUM(D6:D9)</f>
        <v>3254.13</v>
      </c>
      <c r="E10" s="5"/>
      <c r="F10" s="12">
        <f>SUM(F6:F9)</f>
        <v>3519.95</v>
      </c>
      <c r="G10" s="5"/>
      <c r="H10" s="12">
        <f>SUM(B10:G10)</f>
        <v>32224.29</v>
      </c>
    </row>
    <row r="11" spans="1:12" ht="16.5" thickTop="1" x14ac:dyDescent="0.25">
      <c r="B11" s="6"/>
      <c r="C11" s="6"/>
      <c r="D11" s="6"/>
      <c r="E11" s="6"/>
      <c r="F11" s="6"/>
      <c r="G11" s="6"/>
      <c r="H11" s="6"/>
    </row>
    <row r="12" spans="1:12" x14ac:dyDescent="0.25">
      <c r="A12" s="1" t="s">
        <v>14</v>
      </c>
      <c r="B12" s="6"/>
      <c r="C12" s="6"/>
      <c r="D12" s="6"/>
      <c r="E12" s="6"/>
      <c r="F12" s="6"/>
      <c r="G12" s="6"/>
      <c r="H12" s="6"/>
    </row>
    <row r="13" spans="1:12" x14ac:dyDescent="0.25">
      <c r="A13" s="4" t="s">
        <v>15</v>
      </c>
      <c r="B13" s="5">
        <v>0</v>
      </c>
      <c r="C13" s="5"/>
      <c r="D13" s="5">
        <v>0</v>
      </c>
      <c r="E13" s="5"/>
      <c r="F13" s="5">
        <v>0</v>
      </c>
      <c r="G13" s="5"/>
      <c r="H13" s="5">
        <f>SUM(B13:G13)</f>
        <v>0</v>
      </c>
    </row>
    <row r="14" spans="1:12" x14ac:dyDescent="0.25">
      <c r="A14" s="4" t="s">
        <v>16</v>
      </c>
      <c r="B14" s="13">
        <v>0</v>
      </c>
      <c r="C14" s="5"/>
      <c r="D14" s="13">
        <v>0</v>
      </c>
      <c r="E14" s="5"/>
      <c r="F14" s="13">
        <v>0</v>
      </c>
      <c r="G14" s="5"/>
      <c r="H14" s="13">
        <f>SUM(B14:G14)</f>
        <v>0</v>
      </c>
    </row>
    <row r="15" spans="1:12" x14ac:dyDescent="0.25">
      <c r="A15" s="1" t="s">
        <v>17</v>
      </c>
      <c r="B15" s="9">
        <f>SUM(B13:B14)</f>
        <v>0</v>
      </c>
      <c r="C15" s="6"/>
      <c r="D15" s="9">
        <f>SUM(D13:D14)</f>
        <v>0</v>
      </c>
      <c r="E15" s="6"/>
      <c r="F15" s="9">
        <f>SUM(F13:F14)</f>
        <v>0</v>
      </c>
      <c r="G15" s="6"/>
      <c r="H15" s="9">
        <f>SUM(B15:G15)</f>
        <v>0</v>
      </c>
    </row>
    <row r="16" spans="1:12" x14ac:dyDescent="0.25">
      <c r="B16" s="6"/>
      <c r="C16" s="6"/>
      <c r="D16" s="6"/>
      <c r="E16" s="6"/>
      <c r="F16" s="6"/>
      <c r="G16" s="6"/>
      <c r="H16" s="6"/>
    </row>
    <row r="17" spans="1:8" x14ac:dyDescent="0.25">
      <c r="A17" s="1" t="s">
        <v>108</v>
      </c>
      <c r="B17" s="6"/>
      <c r="C17" s="6"/>
      <c r="D17" s="6"/>
      <c r="E17" s="6"/>
      <c r="F17" s="6"/>
      <c r="G17" s="6"/>
      <c r="H17" s="6"/>
    </row>
    <row r="18" spans="1:8" x14ac:dyDescent="0.25">
      <c r="A18" s="4" t="s">
        <v>23</v>
      </c>
      <c r="B18" s="6">
        <f>B56</f>
        <v>25449.86</v>
      </c>
      <c r="C18" s="6"/>
      <c r="D18" s="6">
        <f>D56</f>
        <v>3254.58</v>
      </c>
      <c r="E18" s="6"/>
      <c r="F18" s="6">
        <f>F56</f>
        <v>3520</v>
      </c>
      <c r="G18" s="6"/>
      <c r="H18" s="6">
        <f>SUM(B18:G18)</f>
        <v>32224.440000000002</v>
      </c>
    </row>
    <row r="19" spans="1:8" x14ac:dyDescent="0.25">
      <c r="A19" s="1" t="s">
        <v>109</v>
      </c>
      <c r="B19" s="9">
        <f>SUM(B18:B18)</f>
        <v>25449.86</v>
      </c>
      <c r="C19" s="6"/>
      <c r="D19" s="9">
        <f>SUM(D18:D18)</f>
        <v>3254.58</v>
      </c>
      <c r="E19" s="6"/>
      <c r="F19" s="9">
        <f>SUM(F18:F18)</f>
        <v>3520</v>
      </c>
      <c r="G19" s="6"/>
      <c r="H19" s="9">
        <f>SUM(B19:G19)</f>
        <v>32224.440000000002</v>
      </c>
    </row>
    <row r="20" spans="1:8" x14ac:dyDescent="0.25">
      <c r="B20" s="6"/>
      <c r="C20" s="6"/>
      <c r="D20" s="6"/>
      <c r="E20" s="6"/>
      <c r="F20" s="6"/>
      <c r="G20" s="6"/>
      <c r="H20" s="6"/>
    </row>
    <row r="21" spans="1:8" x14ac:dyDescent="0.25">
      <c r="A21" s="1" t="s">
        <v>103</v>
      </c>
    </row>
    <row r="22" spans="1:8" ht="16.5" thickBot="1" x14ac:dyDescent="0.3">
      <c r="A22" s="4" t="s">
        <v>108</v>
      </c>
      <c r="B22" s="8">
        <f>+B15+B19</f>
        <v>25449.86</v>
      </c>
      <c r="C22" s="5"/>
      <c r="D22" s="8">
        <f>+D15+D19</f>
        <v>3254.58</v>
      </c>
      <c r="E22" s="5"/>
      <c r="F22" s="8">
        <f>+F15+F19</f>
        <v>3520</v>
      </c>
      <c r="G22" s="5"/>
      <c r="H22" s="8">
        <f>SUM(B22:G22)</f>
        <v>32224.440000000002</v>
      </c>
    </row>
    <row r="23" spans="1:8" ht="16.5" thickTop="1" x14ac:dyDescent="0.25"/>
    <row r="25" spans="1:8" x14ac:dyDescent="0.25">
      <c r="A25" s="10"/>
      <c r="B25" s="11">
        <f>B10-B22</f>
        <v>0.34999999999854481</v>
      </c>
      <c r="C25" s="10"/>
      <c r="D25" s="11">
        <f>D10-D22</f>
        <v>-0.4499999999998181</v>
      </c>
      <c r="E25" s="10"/>
      <c r="F25" s="11">
        <f>F10-F22</f>
        <v>-5.0000000000181899E-2</v>
      </c>
      <c r="G25" s="10"/>
      <c r="H25" s="11">
        <f>H10-H22</f>
        <v>-0.15000000000145519</v>
      </c>
    </row>
    <row r="26" spans="1:8" x14ac:dyDescent="0.25">
      <c r="A26" s="10"/>
      <c r="B26" s="11">
        <f>B19-B56</f>
        <v>0</v>
      </c>
      <c r="C26" s="10"/>
      <c r="D26" s="11">
        <f>D19-D56</f>
        <v>0</v>
      </c>
      <c r="E26" s="10"/>
      <c r="F26" s="11">
        <f>F19-F56</f>
        <v>0</v>
      </c>
      <c r="G26" s="10"/>
      <c r="H26" s="11">
        <f>H19-H56</f>
        <v>0</v>
      </c>
    </row>
    <row r="29" spans="1:8" x14ac:dyDescent="0.25">
      <c r="B29" s="2" t="s">
        <v>104</v>
      </c>
      <c r="C29" s="2"/>
      <c r="D29" s="2" t="s">
        <v>105</v>
      </c>
      <c r="E29" s="2"/>
      <c r="F29" s="2" t="s">
        <v>105</v>
      </c>
    </row>
    <row r="30" spans="1:8" x14ac:dyDescent="0.25">
      <c r="B30" s="2" t="s">
        <v>106</v>
      </c>
      <c r="C30" s="2"/>
      <c r="D30" s="2" t="s">
        <v>107</v>
      </c>
      <c r="E30" s="2"/>
      <c r="F30" s="2" t="s">
        <v>106</v>
      </c>
      <c r="G30" s="2"/>
      <c r="H30" s="2"/>
    </row>
    <row r="31" spans="1:8" x14ac:dyDescent="0.25">
      <c r="B31" s="3" t="s">
        <v>63</v>
      </c>
      <c r="C31" s="2"/>
      <c r="D31" s="3" t="s">
        <v>63</v>
      </c>
      <c r="E31" s="2"/>
      <c r="F31" s="3" t="s">
        <v>63</v>
      </c>
      <c r="G31" s="2"/>
      <c r="H31" s="3" t="s">
        <v>80</v>
      </c>
    </row>
    <row r="32" spans="1:8" hidden="1" x14ac:dyDescent="0.25"/>
    <row r="33" spans="1:8" x14ac:dyDescent="0.25">
      <c r="A33" s="1" t="s">
        <v>110</v>
      </c>
    </row>
    <row r="34" spans="1:8" x14ac:dyDescent="0.25">
      <c r="A34" s="4" t="s">
        <v>111</v>
      </c>
      <c r="B34" s="5"/>
      <c r="C34" s="5"/>
      <c r="D34" s="5"/>
      <c r="E34" s="5"/>
      <c r="F34" s="5"/>
      <c r="G34" s="5"/>
      <c r="H34" s="5"/>
    </row>
    <row r="35" spans="1:8" x14ac:dyDescent="0.25">
      <c r="A35" s="14" t="s">
        <v>33</v>
      </c>
      <c r="B35" s="5">
        <v>254.86</v>
      </c>
      <c r="C35" s="6"/>
      <c r="D35" s="5">
        <v>32.58</v>
      </c>
      <c r="E35" s="6"/>
      <c r="F35" s="5">
        <v>36</v>
      </c>
      <c r="G35" s="6"/>
      <c r="H35" s="5">
        <f>SUM(B35:G35)</f>
        <v>323.44</v>
      </c>
    </row>
    <row r="36" spans="1:8" hidden="1" x14ac:dyDescent="0.25">
      <c r="A36" s="4" t="s">
        <v>38</v>
      </c>
      <c r="B36" s="6">
        <v>0</v>
      </c>
      <c r="C36" s="6"/>
      <c r="D36" s="6">
        <v>0</v>
      </c>
      <c r="E36" s="6"/>
      <c r="F36" s="6">
        <v>0</v>
      </c>
      <c r="G36" s="6"/>
      <c r="H36" s="6">
        <f>SUM(B36:G36)</f>
        <v>0</v>
      </c>
    </row>
    <row r="37" spans="1:8" x14ac:dyDescent="0.25">
      <c r="A37" s="1" t="s">
        <v>35</v>
      </c>
      <c r="B37" s="9">
        <f>SUM(B34:B36)</f>
        <v>254.86</v>
      </c>
      <c r="C37" s="6"/>
      <c r="D37" s="9">
        <f>SUM(D34:D36)</f>
        <v>32.58</v>
      </c>
      <c r="E37" s="6"/>
      <c r="F37" s="9">
        <f>SUM(F34:F36)</f>
        <v>36</v>
      </c>
      <c r="G37" s="6"/>
      <c r="H37" s="9">
        <f>SUM(H34:H36)</f>
        <v>323.44</v>
      </c>
    </row>
    <row r="38" spans="1:8" x14ac:dyDescent="0.25">
      <c r="B38" s="6"/>
      <c r="C38" s="6"/>
      <c r="D38" s="6"/>
      <c r="E38" s="6"/>
      <c r="F38" s="6"/>
      <c r="G38" s="6"/>
      <c r="H38" s="6"/>
    </row>
    <row r="39" spans="1:8" x14ac:dyDescent="0.25">
      <c r="A39" s="1" t="s">
        <v>112</v>
      </c>
      <c r="B39" s="6"/>
      <c r="C39" s="6"/>
      <c r="D39" s="6"/>
      <c r="E39" s="6"/>
      <c r="F39" s="6"/>
      <c r="G39" s="6"/>
      <c r="H39" s="6"/>
    </row>
    <row r="40" spans="1:8" x14ac:dyDescent="0.25">
      <c r="A40" s="4" t="s">
        <v>38</v>
      </c>
      <c r="B40" s="6">
        <v>0</v>
      </c>
      <c r="C40" s="6"/>
      <c r="D40" s="6">
        <v>0</v>
      </c>
      <c r="E40" s="6"/>
      <c r="F40" s="6">
        <v>0</v>
      </c>
      <c r="G40" s="6"/>
      <c r="H40" s="6">
        <f>SUM(B40:G40)</f>
        <v>0</v>
      </c>
    </row>
    <row r="41" spans="1:8" x14ac:dyDescent="0.25">
      <c r="A41" s="1" t="s">
        <v>39</v>
      </c>
      <c r="B41" s="9">
        <f>SUM(B40)</f>
        <v>0</v>
      </c>
      <c r="C41" s="6"/>
      <c r="D41" s="9">
        <f>SUM(D40)</f>
        <v>0</v>
      </c>
      <c r="E41" s="6"/>
      <c r="F41" s="9">
        <f>SUM(F40)</f>
        <v>0</v>
      </c>
      <c r="G41" s="6"/>
      <c r="H41" s="9">
        <f>SUM(H40)</f>
        <v>0</v>
      </c>
    </row>
    <row r="42" spans="1:8" x14ac:dyDescent="0.25">
      <c r="B42" s="6"/>
      <c r="C42" s="6"/>
      <c r="D42" s="6"/>
      <c r="E42" s="6"/>
      <c r="F42" s="6"/>
      <c r="G42" s="6"/>
      <c r="H42" s="6"/>
    </row>
    <row r="43" spans="1:8" hidden="1" x14ac:dyDescent="0.25">
      <c r="A43" s="1" t="s">
        <v>40</v>
      </c>
      <c r="B43" s="6"/>
      <c r="C43" s="6"/>
      <c r="D43" s="6"/>
      <c r="E43" s="6"/>
      <c r="F43" s="6"/>
      <c r="G43" s="6"/>
      <c r="H43" s="6"/>
    </row>
    <row r="44" spans="1:8" hidden="1" x14ac:dyDescent="0.25">
      <c r="A44" s="4" t="s">
        <v>41</v>
      </c>
      <c r="B44" s="7">
        <f>+B37-B41</f>
        <v>254.86</v>
      </c>
      <c r="C44" s="6"/>
      <c r="D44" s="7">
        <f>+D37-D41</f>
        <v>32.58</v>
      </c>
      <c r="E44" s="6"/>
      <c r="F44" s="7">
        <f>+F37-F41</f>
        <v>36</v>
      </c>
      <c r="G44" s="6"/>
      <c r="H44" s="7">
        <f>SUM(B44:G44)</f>
        <v>323.44</v>
      </c>
    </row>
    <row r="45" spans="1:8" hidden="1" x14ac:dyDescent="0.25">
      <c r="B45" s="6"/>
      <c r="C45" s="6"/>
      <c r="D45" s="6"/>
      <c r="E45" s="6"/>
      <c r="F45" s="6"/>
      <c r="G45" s="6"/>
      <c r="H45" s="6"/>
    </row>
    <row r="46" spans="1:8" hidden="1" x14ac:dyDescent="0.25">
      <c r="A46" s="1" t="s">
        <v>42</v>
      </c>
      <c r="B46" s="6"/>
      <c r="C46" s="6"/>
      <c r="D46" s="6"/>
      <c r="E46" s="6"/>
      <c r="F46" s="6"/>
      <c r="G46" s="6"/>
      <c r="H46" s="6"/>
    </row>
    <row r="47" spans="1:8" hidden="1" x14ac:dyDescent="0.25">
      <c r="A47" s="4" t="s">
        <v>44</v>
      </c>
      <c r="B47" s="6">
        <v>0</v>
      </c>
      <c r="C47" s="6"/>
      <c r="D47" s="6">
        <v>0</v>
      </c>
      <c r="E47" s="6"/>
      <c r="F47" s="6">
        <v>0</v>
      </c>
      <c r="G47" s="6"/>
      <c r="H47" s="6">
        <f>SUM(B47:G47)</f>
        <v>0</v>
      </c>
    </row>
    <row r="48" spans="1:8" hidden="1" x14ac:dyDescent="0.25">
      <c r="A48" s="4" t="s">
        <v>45</v>
      </c>
      <c r="B48" s="7">
        <v>0</v>
      </c>
      <c r="C48" s="6"/>
      <c r="D48" s="7">
        <v>0</v>
      </c>
      <c r="E48" s="6"/>
      <c r="F48" s="7">
        <v>0</v>
      </c>
      <c r="G48" s="6"/>
      <c r="H48" s="7">
        <f>SUM(B48:G48)</f>
        <v>0</v>
      </c>
    </row>
    <row r="49" spans="1:12" hidden="1" x14ac:dyDescent="0.25">
      <c r="A49" s="1" t="s">
        <v>46</v>
      </c>
      <c r="B49" s="6"/>
      <c r="C49" s="6"/>
      <c r="D49" s="6"/>
      <c r="E49" s="6"/>
      <c r="F49" s="6"/>
      <c r="G49" s="6"/>
      <c r="H49" s="6"/>
    </row>
    <row r="50" spans="1:12" hidden="1" x14ac:dyDescent="0.25">
      <c r="A50" s="4" t="s">
        <v>47</v>
      </c>
      <c r="B50" s="7">
        <f>SUM(B47:B48)</f>
        <v>0</v>
      </c>
      <c r="C50" s="6"/>
      <c r="D50" s="7">
        <f>SUM(D47:D48)</f>
        <v>0</v>
      </c>
      <c r="E50" s="6"/>
      <c r="F50" s="7">
        <f>SUM(F47:F48)</f>
        <v>0</v>
      </c>
      <c r="G50" s="6"/>
      <c r="H50" s="7">
        <f>SUM(B50:G50)</f>
        <v>0</v>
      </c>
    </row>
    <row r="51" spans="1:12" hidden="1" x14ac:dyDescent="0.25">
      <c r="B51" s="6"/>
      <c r="C51" s="6"/>
      <c r="D51" s="6"/>
      <c r="E51" s="6"/>
      <c r="F51" s="6"/>
      <c r="G51" s="6"/>
      <c r="H51" s="6"/>
    </row>
    <row r="52" spans="1:12" x14ac:dyDescent="0.25">
      <c r="A52" s="1" t="s">
        <v>48</v>
      </c>
      <c r="B52" s="6">
        <f>+B44+B50</f>
        <v>254.86</v>
      </c>
      <c r="C52" s="6"/>
      <c r="D52" s="6">
        <f>+D44+D50</f>
        <v>32.58</v>
      </c>
      <c r="E52" s="6"/>
      <c r="F52" s="6">
        <f>+F44+F50</f>
        <v>36</v>
      </c>
      <c r="G52" s="6"/>
      <c r="H52" s="6">
        <f>SUM(B52:G52)</f>
        <v>323.44</v>
      </c>
    </row>
    <row r="53" spans="1:12" x14ac:dyDescent="0.25">
      <c r="B53" s="6"/>
      <c r="C53" s="6"/>
      <c r="D53" s="6"/>
      <c r="E53" s="6"/>
      <c r="F53" s="6"/>
      <c r="G53" s="6"/>
      <c r="H53" s="6"/>
    </row>
    <row r="54" spans="1:12" x14ac:dyDescent="0.25">
      <c r="A54" s="1" t="s">
        <v>113</v>
      </c>
      <c r="B54" s="7">
        <v>25195</v>
      </c>
      <c r="C54" s="6"/>
      <c r="D54" s="7">
        <v>3222</v>
      </c>
      <c r="E54" s="6"/>
      <c r="F54" s="7">
        <v>3484</v>
      </c>
      <c r="G54" s="6"/>
      <c r="H54" s="7">
        <f>SUM(B54:G54)</f>
        <v>31901</v>
      </c>
    </row>
    <row r="55" spans="1:12" x14ac:dyDescent="0.25">
      <c r="B55" s="6"/>
      <c r="C55" s="6"/>
      <c r="D55" s="6"/>
      <c r="E55" s="6"/>
      <c r="F55" s="6"/>
      <c r="G55" s="6"/>
      <c r="H55" s="6"/>
    </row>
    <row r="56" spans="1:12" ht="16.5" thickBot="1" x14ac:dyDescent="0.3">
      <c r="A56" s="1" t="s">
        <v>114</v>
      </c>
      <c r="B56" s="8">
        <f>SUM(B52:B55)</f>
        <v>25449.86</v>
      </c>
      <c r="C56" s="5"/>
      <c r="D56" s="8">
        <f>SUM(D52:D55)</f>
        <v>3254.58</v>
      </c>
      <c r="E56" s="5"/>
      <c r="F56" s="8">
        <f>SUM(F52:F55)</f>
        <v>3520</v>
      </c>
      <c r="G56" s="5"/>
      <c r="H56" s="8">
        <f>SUM(B56:G56)</f>
        <v>32224.440000000002</v>
      </c>
      <c r="L56" s="5"/>
    </row>
    <row r="57" spans="1:12" ht="16.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98B8890D3C29468B3F6D6355CB2CC7" ma:contentTypeVersion="15" ma:contentTypeDescription="Create a new document." ma:contentTypeScope="" ma:versionID="fe73706492e7e12de38a48bbe31b88fe">
  <xsd:schema xmlns:xsd="http://www.w3.org/2001/XMLSchema" xmlns:xs="http://www.w3.org/2001/XMLSchema" xmlns:p="http://schemas.microsoft.com/office/2006/metadata/properties" xmlns:ns2="502f668c-bc54-41a5-b192-f25630ff9e96" xmlns:ns3="ba3016e3-dd12-4128-b40b-be30c5712c89" targetNamespace="http://schemas.microsoft.com/office/2006/metadata/properties" ma:root="true" ma:fieldsID="a1ab3d44ab8dd932a3a19809528564bb" ns2:_="" ns3:_="">
    <xsd:import namespace="502f668c-bc54-41a5-b192-f25630ff9e96"/>
    <xsd:import namespace="ba3016e3-dd12-4128-b40b-be30c5712c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f668c-bc54-41a5-b192-f25630ff9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47698dc-afd3-4c88-9178-3be73d8c8d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16e3-dd12-4128-b40b-be30c5712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d3b2b4d-aa6f-4470-8a74-cf4784c35800}" ma:internalName="TaxCatchAll" ma:showField="CatchAllData" ma:web="ba3016e3-dd12-4128-b40b-be30c5712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3016e3-dd12-4128-b40b-be30c5712c89" xsi:nil="true"/>
    <lcf76f155ced4ddcb4097134ff3c332f xmlns="502f668c-bc54-41a5-b192-f25630ff9e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AA0D2C-A81C-4385-8C63-02F312502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4EAA3D-0993-496A-8B63-450354C80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f668c-bc54-41a5-b192-f25630ff9e96"/>
    <ds:schemaRef ds:uri="ba3016e3-dd12-4128-b40b-be30c5712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EF5BD-8F08-4F13-B6D6-5EB1E29BC8ED}">
  <ds:schemaRefs>
    <ds:schemaRef ds:uri="http://schemas.microsoft.com/office/2006/metadata/properties"/>
    <ds:schemaRef ds:uri="http://schemas.microsoft.com/office/2006/documentManagement/types"/>
    <ds:schemaRef ds:uri="ba3016e3-dd12-4128-b40b-be30c5712c89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502f668c-bc54-41a5-b192-f25630ff9e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Special Revenue</vt:lpstr>
      <vt:lpstr>Capital Projects</vt:lpstr>
      <vt:lpstr>Permanent</vt:lpstr>
      <vt:lpstr>Fiduciary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Ruggles</dc:creator>
  <cp:lastModifiedBy>Josh Arneson</cp:lastModifiedBy>
  <dcterms:created xsi:type="dcterms:W3CDTF">2024-10-23T10:58:30Z</dcterms:created>
  <dcterms:modified xsi:type="dcterms:W3CDTF">2024-11-07T13:07:18Z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0x0101008698B8890D3C29468B3F6D6355CB2CC7</vt:lpwstr>
  </property>
  <property fmtid="{D5CDD505-2E9C-101B-9397-08002B2CF9AE}" pid="3" name="MediaServiceImageTags">
    <vt:lpwstr/>
  </property>
</Properties>
</file>